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Engenharia\Desktop\BACKUP PEDRO - JAN-2020\#PROJETOS NOVOS - PEDRO\#FUNASA - MELHORIAS SANITÁRIAS DOMICILIARES\FUNASA nova 106 fossas\"/>
    </mc:Choice>
  </mc:AlternateContent>
  <xr:revisionPtr revIDLastSave="0" documentId="13_ncr:1_{72FA9027-844E-4B2D-B4A6-E1EC6CCAD5E7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PLANILHA ORÇAMENTÁRIA" sheetId="19" r:id="rId1"/>
    <sheet name="CRONOGRAMA" sheetId="20" r:id="rId2"/>
  </sheets>
  <definedNames>
    <definedName name="_xlnm.Print_Area" localSheetId="1">CRONOGRAMA!$A$1:$J$35</definedName>
    <definedName name="_xlnm.Print_Area" localSheetId="0">'PLANILHA ORÇAMENTÁRIA'!$A$1:$I$43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9" l="1"/>
  <c r="I22" i="20" l="1"/>
  <c r="G22" i="20" s="1"/>
  <c r="I16" i="20"/>
  <c r="L24" i="20"/>
  <c r="L21" i="20"/>
  <c r="D22" i="20" l="1"/>
  <c r="E22" i="20"/>
  <c r="F22" i="20"/>
  <c r="C22" i="20"/>
  <c r="F17" i="19"/>
  <c r="H32" i="19"/>
  <c r="I32" i="19" s="1"/>
  <c r="I33" i="19" s="1"/>
  <c r="H9" i="19" l="1"/>
  <c r="F29" i="19"/>
  <c r="F28" i="19"/>
  <c r="F27" i="19"/>
  <c r="F26" i="19"/>
  <c r="F16" i="19"/>
  <c r="F15" i="19"/>
  <c r="H28" i="19" l="1"/>
  <c r="I28" i="19" s="1"/>
  <c r="H27" i="19"/>
  <c r="I27" i="19" s="1"/>
  <c r="H10" i="19"/>
  <c r="I10" i="19" s="1"/>
  <c r="I9" i="19"/>
  <c r="I12" i="19" s="1"/>
  <c r="H25" i="19" l="1"/>
  <c r="I25" i="19" s="1"/>
  <c r="H26" i="19"/>
  <c r="I26" i="19" s="1"/>
  <c r="H29" i="19"/>
  <c r="I29" i="19" s="1"/>
  <c r="H22" i="19"/>
  <c r="I22" i="19" s="1"/>
  <c r="H21" i="19"/>
  <c r="I21" i="19" s="1"/>
  <c r="H15" i="19"/>
  <c r="I15" i="19" s="1"/>
  <c r="H16" i="19"/>
  <c r="I16" i="19" s="1"/>
  <c r="H17" i="19"/>
  <c r="I17" i="19" s="1"/>
  <c r="I30" i="19" l="1"/>
  <c r="I18" i="19"/>
  <c r="I13" i="20" s="1"/>
  <c r="L18" i="20"/>
  <c r="I19" i="20" l="1"/>
  <c r="I37" i="19"/>
  <c r="E13" i="20"/>
  <c r="G13" i="20"/>
  <c r="F13" i="20"/>
  <c r="H20" i="19"/>
  <c r="H11" i="19"/>
  <c r="G19" i="20" l="1"/>
  <c r="C19" i="20"/>
  <c r="D19" i="20"/>
  <c r="E19" i="20"/>
  <c r="F19" i="20"/>
  <c r="L15" i="20"/>
  <c r="L12" i="20"/>
  <c r="I11" i="19" l="1"/>
  <c r="I20" i="19" l="1"/>
  <c r="I10" i="20"/>
  <c r="I25" i="20" s="1"/>
  <c r="G16" i="20" l="1"/>
  <c r="I23" i="19"/>
  <c r="C10" i="20"/>
  <c r="D13" i="20"/>
  <c r="G26" i="20" l="1"/>
  <c r="G28" i="20"/>
  <c r="E16" i="20"/>
  <c r="F16" i="20"/>
  <c r="D16" i="20"/>
  <c r="D28" i="20" s="1"/>
  <c r="C16" i="20"/>
  <c r="C13" i="20"/>
  <c r="F28" i="20" l="1"/>
  <c r="F26" i="20"/>
  <c r="E26" i="20"/>
  <c r="E28" i="20"/>
  <c r="D26" i="20"/>
  <c r="C28" i="20"/>
  <c r="C29" i="20" s="1"/>
  <c r="D29" i="20" s="1"/>
  <c r="C26" i="20"/>
  <c r="C27" i="20" s="1"/>
  <c r="J19" i="20"/>
  <c r="J22" i="20"/>
  <c r="J13" i="20"/>
  <c r="J10" i="20"/>
  <c r="J16" i="20"/>
  <c r="E29" i="20" l="1"/>
  <c r="F29" i="20" s="1"/>
  <c r="G29" i="20" s="1"/>
  <c r="D27" i="20"/>
  <c r="E27" i="20" s="1"/>
  <c r="F27" i="20" s="1"/>
  <c r="G27" i="20" s="1"/>
  <c r="L26" i="20"/>
</calcChain>
</file>

<file path=xl/sharedStrings.xml><?xml version="1.0" encoding="utf-8"?>
<sst xmlns="http://schemas.openxmlformats.org/spreadsheetml/2006/main" count="129" uniqueCount="94">
  <si>
    <t>ITEM</t>
  </si>
  <si>
    <t>QUANT.</t>
  </si>
  <si>
    <t>1.1</t>
  </si>
  <si>
    <t>PREFEITURA MUNICIPAL DE ATÍLIO VIVÁCQUA/ES</t>
  </si>
  <si>
    <t>PLANILHA ORÇAMENTÁRIA</t>
  </si>
  <si>
    <t>ESPECIFICAÇÃO</t>
  </si>
  <si>
    <t>UND.</t>
  </si>
  <si>
    <t>PREÇO UNITÁRIO</t>
  </si>
  <si>
    <t>PREÇO TOTAL</t>
  </si>
  <si>
    <t>__________________________________________________</t>
  </si>
  <si>
    <t>______________________________________________</t>
  </si>
  <si>
    <t>BDI:</t>
  </si>
  <si>
    <t>CÓDIGO</t>
  </si>
  <si>
    <t>REFERÊNCIA</t>
  </si>
  <si>
    <t>PREÇO UNITÁRIO SEM BDI</t>
  </si>
  <si>
    <t>INSTALAÇÃO DO CANTEIRO DE OBRAS</t>
  </si>
  <si>
    <t>Josemar Machado Fernandes</t>
  </si>
  <si>
    <t>SUBTOTAL</t>
  </si>
  <si>
    <t>Prefeito Municipal</t>
  </si>
  <si>
    <t>TOTAL DA OBRA:</t>
  </si>
  <si>
    <t>3.1</t>
  </si>
  <si>
    <t>M2</t>
  </si>
  <si>
    <t>-</t>
  </si>
  <si>
    <t>SINAPI</t>
  </si>
  <si>
    <t>74209/001</t>
  </si>
  <si>
    <t>UND</t>
  </si>
  <si>
    <t>DESCRIÇÃO</t>
  </si>
  <si>
    <t>Prazo de Execução ( em dias)</t>
  </si>
  <si>
    <t>Valores</t>
  </si>
  <si>
    <t>R$</t>
  </si>
  <si>
    <t>%</t>
  </si>
  <si>
    <t>01</t>
  </si>
  <si>
    <t>02</t>
  </si>
  <si>
    <t>VALOR TOTAL (R$)</t>
  </si>
  <si>
    <t>AVANÇO DA OBRA</t>
  </si>
  <si>
    <t>AVANÇO DA OBRA ACUMULADO</t>
  </si>
  <si>
    <t>CUSTO TOTAL (R$)</t>
  </si>
  <si>
    <t>CUSTO TOTAL ACUMULADO (R$)</t>
  </si>
  <si>
    <t>3.2</t>
  </si>
  <si>
    <t>3.3</t>
  </si>
  <si>
    <t>REFERENCIAIS DE PREÇOS:</t>
  </si>
  <si>
    <t>03</t>
  </si>
  <si>
    <t>SISTEMA DE TRATAMENTO</t>
  </si>
  <si>
    <t>M3</t>
  </si>
  <si>
    <t>Fornecimento e assentamento de UASB-TS conforme projeto (para até 5 moradores/casa - 600L/d)</t>
  </si>
  <si>
    <t>COT.001</t>
  </si>
  <si>
    <t>74166/001</t>
  </si>
  <si>
    <t>M</t>
  </si>
  <si>
    <t>MOVIMENTAÇÕES DE TERRA</t>
  </si>
  <si>
    <t>2.1</t>
  </si>
  <si>
    <t>2.2</t>
  </si>
  <si>
    <t>2.3</t>
  </si>
  <si>
    <t>LOCAL: LOCALIDADES DA ZONA RURAL DO MUNICÍPIO DE ATÍLIO VIVÁCQUA</t>
  </si>
  <si>
    <t>OBRA/SERVIÇO: MELHORIAS SANITÁRIAS DOMICILIARES - IMPLANTAÇÃO DE SISTEMAS DE TRATAMENTO DE ESGOTO</t>
  </si>
  <si>
    <t>MÊS 01</t>
  </si>
  <si>
    <t>MÊS 02</t>
  </si>
  <si>
    <t>MÊS 03</t>
  </si>
  <si>
    <t>MÊS 04</t>
  </si>
  <si>
    <t>MÊS 05</t>
  </si>
  <si>
    <t xml:space="preserve">           CRONOGRAMA FÍSICO-FINANCEIRO</t>
  </si>
  <si>
    <t>1.2</t>
  </si>
  <si>
    <t>1.3</t>
  </si>
  <si>
    <t>Barracão de Obra em madeira comp. c/ banheiro, telha 4 mm, inc.int.</t>
  </si>
  <si>
    <t>Escavação manual de valas - h até 2,0m (4,43 m3/und)</t>
  </si>
  <si>
    <t>Reaterro manual apiloado com soquete (valas de fundação) (2,6m3/unid)</t>
  </si>
  <si>
    <t>tx/km</t>
  </si>
  <si>
    <t>74051/002</t>
  </si>
  <si>
    <t>Caixa de inspeção em concreto ou fibra, DN 60 cm com tampa h= 60cm (01 caixas/unid)</t>
  </si>
  <si>
    <t>Caixa de gordura pré-moldada de concreto e/ou fibra ou PVC diâmetro 40 cm c/ tampa (tudo incluso)</t>
  </si>
  <si>
    <t>Preparo manual do terreno raspagem superficial</t>
  </si>
  <si>
    <t>Joelho 90º, PVC Serie Normal, esgoto predial, DN 100mm, Fornecido e Instalado</t>
  </si>
  <si>
    <t>TE, PVC, Série normal, esgoto predial, DN 100x100mm, Fornecido e Instalado</t>
  </si>
  <si>
    <t>Tubo PVC esgoto predial, DN 40mm, Fornecido e instalado (Ligação pia/caixa de gordura 6,0 m/unidade</t>
  </si>
  <si>
    <t>Tubo de PVC para esgoto, DN 100mm (15,00 m de ligação por unidade)</t>
  </si>
  <si>
    <t>Tubo de PVC esgoto predial, DN 50mm, fornec/instalado em prumada esgoto sanitário p/ ventilação (4,00 M por unidade)</t>
  </si>
  <si>
    <t>4.1</t>
  </si>
  <si>
    <t>Placa de obra em chapa de aço padrão Funasa</t>
  </si>
  <si>
    <t>ADMINISTRAÇÃO LOCAL</t>
  </si>
  <si>
    <t>Transporte comercial com caminhão carroceria até 9 T, Rodovia em leito natural (Dmt = 17 km)</t>
  </si>
  <si>
    <t xml:space="preserve">  SINAPI 12/2019 ; IOPES 07/2019 ; DER-ES 01/2018</t>
  </si>
  <si>
    <t>4</t>
  </si>
  <si>
    <t>INSTALAÇÕES SANITÁRIAS</t>
  </si>
  <si>
    <t>INSTALAÇÕES SANITARIAS</t>
  </si>
  <si>
    <t>5</t>
  </si>
  <si>
    <t>Lucas Rodrigues Ramos</t>
  </si>
  <si>
    <t>CREA: ES-025761/D</t>
  </si>
  <si>
    <t>4.2</t>
  </si>
  <si>
    <t>4.3</t>
  </si>
  <si>
    <t>4.4</t>
  </si>
  <si>
    <t>4.5</t>
  </si>
  <si>
    <t>5.1</t>
  </si>
  <si>
    <t>___________________________________________</t>
  </si>
  <si>
    <t>Engenheiro Civil</t>
  </si>
  <si>
    <t>Administração local da Obra (aprox. 4%)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</si>
</sst>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$&quot;\ #,##0.00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0.0%"/>
    <numFmt numFmtId="168" formatCode="_(* #,##0.00_);_(* \(#,##0.00\);_(* \-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double">
        <color indexed="8"/>
      </right>
      <top style="thin">
        <color indexed="64"/>
      </top>
      <bottom/>
      <diagonal/>
    </border>
    <border>
      <left style="double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8"/>
      </right>
      <top/>
      <bottom/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01">
    <xf numFmtId="0" fontId="0" fillId="0" borderId="0" xfId="0"/>
    <xf numFmtId="0" fontId="5" fillId="2" borderId="0" xfId="0" applyFont="1" applyFill="1"/>
    <xf numFmtId="10" fontId="5" fillId="2" borderId="0" xfId="0" applyNumberFormat="1" applyFont="1" applyFill="1"/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vertical="center"/>
    </xf>
    <xf numFmtId="0" fontId="5" fillId="2" borderId="27" xfId="0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right" vertical="center"/>
    </xf>
    <xf numFmtId="164" fontId="1" fillId="0" borderId="27" xfId="0" applyNumberFormat="1" applyFont="1" applyBorder="1" applyAlignment="1">
      <alignment horizontal="center" vertical="center"/>
    </xf>
    <xf numFmtId="164" fontId="5" fillId="2" borderId="21" xfId="0" applyNumberFormat="1" applyFont="1" applyFill="1" applyBorder="1" applyAlignment="1">
      <alignment vertical="center"/>
    </xf>
    <xf numFmtId="164" fontId="5" fillId="0" borderId="17" xfId="0" applyNumberFormat="1" applyFont="1" applyBorder="1" applyAlignment="1">
      <alignment vertical="center"/>
    </xf>
    <xf numFmtId="164" fontId="5" fillId="2" borderId="19" xfId="0" applyNumberFormat="1" applyFont="1" applyFill="1" applyBorder="1" applyAlignment="1">
      <alignment vertic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7" xfId="0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right" vertical="center"/>
    </xf>
    <xf numFmtId="0" fontId="0" fillId="2" borderId="17" xfId="0" applyFill="1" applyBorder="1" applyAlignment="1">
      <alignment vertical="center" wrapText="1"/>
    </xf>
    <xf numFmtId="0" fontId="0" fillId="2" borderId="18" xfId="0" applyFill="1" applyBorder="1" applyAlignment="1">
      <alignment horizontal="center" vertical="center"/>
    </xf>
    <xf numFmtId="0" fontId="5" fillId="0" borderId="0" xfId="0" applyFont="1"/>
    <xf numFmtId="0" fontId="5" fillId="0" borderId="7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0" xfId="0" applyFont="1" applyAlignment="1">
      <alignment wrapText="1"/>
    </xf>
    <xf numFmtId="4" fontId="5" fillId="0" borderId="0" xfId="0" applyNumberFormat="1" applyFont="1"/>
    <xf numFmtId="164" fontId="5" fillId="0" borderId="0" xfId="0" applyNumberFormat="1" applyFont="1"/>
    <xf numFmtId="0" fontId="0" fillId="0" borderId="17" xfId="0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/>
    </xf>
    <xf numFmtId="4" fontId="5" fillId="4" borderId="6" xfId="0" applyNumberFormat="1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0" fontId="7" fillId="2" borderId="9" xfId="1" applyFont="1" applyFill="1" applyBorder="1" applyAlignment="1">
      <alignment horizontal="center" vertical="center" wrapText="1"/>
    </xf>
    <xf numFmtId="10" fontId="7" fillId="2" borderId="6" xfId="1" applyNumberFormat="1" applyFont="1" applyFill="1" applyBorder="1" applyAlignment="1">
      <alignment horizontal="left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center" wrapText="1"/>
    </xf>
    <xf numFmtId="4" fontId="7" fillId="3" borderId="24" xfId="1" applyNumberFormat="1" applyFont="1" applyFill="1" applyBorder="1" applyAlignment="1">
      <alignment horizontal="center" vertical="center" wrapText="1"/>
    </xf>
    <xf numFmtId="4" fontId="7" fillId="0" borderId="24" xfId="1" applyNumberFormat="1" applyFont="1" applyBorder="1" applyAlignment="1">
      <alignment horizontal="center" vertical="center" wrapText="1"/>
    </xf>
    <xf numFmtId="4" fontId="7" fillId="3" borderId="25" xfId="1" applyNumberFormat="1" applyFont="1" applyFill="1" applyBorder="1" applyAlignment="1">
      <alignment horizontal="center" vertical="center" wrapText="1"/>
    </xf>
    <xf numFmtId="164" fontId="6" fillId="4" borderId="16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6" fillId="4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/>
    </xf>
    <xf numFmtId="4" fontId="8" fillId="4" borderId="6" xfId="0" applyNumberFormat="1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4" fillId="0" borderId="0" xfId="2"/>
    <xf numFmtId="0" fontId="11" fillId="2" borderId="7" xfId="1" applyFont="1" applyFill="1" applyBorder="1" applyAlignment="1">
      <alignment horizontal="left"/>
    </xf>
    <xf numFmtId="0" fontId="11" fillId="2" borderId="0" xfId="1" applyFont="1" applyFill="1"/>
    <xf numFmtId="0" fontId="10" fillId="2" borderId="0" xfId="1" applyFont="1" applyFill="1" applyAlignment="1">
      <alignment horizontal="center"/>
    </xf>
    <xf numFmtId="0" fontId="10" fillId="2" borderId="0" xfId="1" applyFont="1" applyFill="1"/>
    <xf numFmtId="0" fontId="10" fillId="2" borderId="8" xfId="1" applyFont="1" applyFill="1" applyBorder="1"/>
    <xf numFmtId="0" fontId="11" fillId="2" borderId="36" xfId="1" applyFont="1" applyFill="1" applyBorder="1" applyAlignment="1">
      <alignment horizontal="center"/>
    </xf>
    <xf numFmtId="0" fontId="11" fillId="2" borderId="37" xfId="1" applyFont="1" applyFill="1" applyBorder="1" applyAlignment="1">
      <alignment horizontal="center"/>
    </xf>
    <xf numFmtId="0" fontId="11" fillId="2" borderId="38" xfId="1" applyFont="1" applyFill="1" applyBorder="1" applyAlignment="1">
      <alignment horizontal="center"/>
    </xf>
    <xf numFmtId="0" fontId="11" fillId="2" borderId="39" xfId="1" applyFont="1" applyFill="1" applyBorder="1" applyAlignment="1">
      <alignment horizontal="center"/>
    </xf>
    <xf numFmtId="0" fontId="11" fillId="5" borderId="42" xfId="1" applyFont="1" applyFill="1" applyBorder="1" applyAlignment="1">
      <alignment horizontal="center"/>
    </xf>
    <xf numFmtId="0" fontId="11" fillId="5" borderId="43" xfId="1" applyFont="1" applyFill="1" applyBorder="1" applyAlignment="1">
      <alignment horizontal="center"/>
    </xf>
    <xf numFmtId="4" fontId="10" fillId="0" borderId="2" xfId="3" applyNumberFormat="1" applyFont="1" applyBorder="1" applyAlignment="1">
      <alignment horizontal="center" vertical="center"/>
    </xf>
    <xf numFmtId="10" fontId="4" fillId="0" borderId="0" xfId="2" applyNumberFormat="1"/>
    <xf numFmtId="0" fontId="11" fillId="5" borderId="7" xfId="1" applyFont="1" applyFill="1" applyBorder="1" applyAlignment="1">
      <alignment horizontal="center" vertical="center"/>
    </xf>
    <xf numFmtId="10" fontId="10" fillId="0" borderId="12" xfId="4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10" fillId="0" borderId="11" xfId="3" applyNumberFormat="1" applyFont="1" applyBorder="1" applyAlignment="1">
      <alignment horizontal="center" vertical="center"/>
    </xf>
    <xf numFmtId="4" fontId="11" fillId="0" borderId="28" xfId="3" applyNumberFormat="1" applyFont="1" applyBorder="1" applyAlignment="1">
      <alignment horizontal="center" vertical="center"/>
    </xf>
    <xf numFmtId="167" fontId="10" fillId="0" borderId="22" xfId="4" applyNumberFormat="1" applyFont="1" applyBorder="1" applyAlignment="1">
      <alignment horizontal="right" vertical="center"/>
    </xf>
    <xf numFmtId="10" fontId="10" fillId="0" borderId="60" xfId="3" applyNumberFormat="1" applyFont="1" applyBorder="1" applyAlignment="1">
      <alignment horizontal="center" vertical="center"/>
    </xf>
    <xf numFmtId="10" fontId="11" fillId="0" borderId="60" xfId="3" applyNumberFormat="1" applyFont="1" applyBorder="1" applyAlignment="1">
      <alignment horizontal="center" vertical="center"/>
    </xf>
    <xf numFmtId="4" fontId="11" fillId="0" borderId="1" xfId="3" applyNumberFormat="1" applyFont="1" applyBorder="1" applyAlignment="1">
      <alignment horizontal="center" vertical="center"/>
    </xf>
    <xf numFmtId="167" fontId="10" fillId="0" borderId="20" xfId="4" applyNumberFormat="1" applyFont="1" applyBorder="1" applyAlignment="1">
      <alignment horizontal="right" vertical="center"/>
    </xf>
    <xf numFmtId="4" fontId="10" fillId="0" borderId="60" xfId="3" applyNumberFormat="1" applyFont="1" applyBorder="1" applyAlignment="1">
      <alignment horizontal="center" vertical="center"/>
    </xf>
    <xf numFmtId="4" fontId="10" fillId="0" borderId="62" xfId="3" applyNumberFormat="1" applyFont="1" applyBorder="1" applyAlignment="1">
      <alignment horizontal="center" vertical="center"/>
    </xf>
    <xf numFmtId="4" fontId="11" fillId="0" borderId="62" xfId="3" applyNumberFormat="1" applyFont="1" applyBorder="1" applyAlignment="1">
      <alignment horizontal="center" vertical="center"/>
    </xf>
    <xf numFmtId="4" fontId="11" fillId="0" borderId="63" xfId="1" applyNumberFormat="1" applyFont="1" applyBorder="1"/>
    <xf numFmtId="0" fontId="10" fillId="0" borderId="21" xfId="1" applyFont="1" applyBorder="1"/>
    <xf numFmtId="0" fontId="11" fillId="0" borderId="12" xfId="1" applyFont="1" applyBorder="1" applyAlignment="1">
      <alignment horizontal="left"/>
    </xf>
    <xf numFmtId="0" fontId="11" fillId="0" borderId="13" xfId="1" applyFont="1" applyBorder="1" applyAlignment="1">
      <alignment horizontal="left"/>
    </xf>
    <xf numFmtId="168" fontId="10" fillId="0" borderId="13" xfId="1" applyNumberFormat="1" applyFont="1" applyBorder="1" applyAlignment="1">
      <alignment horizontal="center" vertical="center"/>
    </xf>
    <xf numFmtId="4" fontId="11" fillId="0" borderId="13" xfId="1" applyNumberFormat="1" applyFont="1" applyBorder="1"/>
    <xf numFmtId="0" fontId="10" fillId="0" borderId="14" xfId="1" applyFont="1" applyBorder="1"/>
    <xf numFmtId="164" fontId="5" fillId="2" borderId="17" xfId="0" applyNumberFormat="1" applyFont="1" applyFill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168" fontId="10" fillId="0" borderId="13" xfId="1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right" vertical="center"/>
    </xf>
    <xf numFmtId="164" fontId="1" fillId="0" borderId="13" xfId="0" applyNumberFormat="1" applyFont="1" applyBorder="1" applyAlignment="1">
      <alignment horizontal="center" vertical="center"/>
    </xf>
    <xf numFmtId="164" fontId="5" fillId="2" borderId="14" xfId="0" applyNumberFormat="1" applyFont="1" applyFill="1" applyBorder="1" applyAlignment="1">
      <alignment vertical="center"/>
    </xf>
    <xf numFmtId="168" fontId="10" fillId="0" borderId="10" xfId="1" applyNumberFormat="1" applyFont="1" applyBorder="1" applyAlignment="1"/>
    <xf numFmtId="168" fontId="10" fillId="0" borderId="3" xfId="1" applyNumberFormat="1" applyFont="1" applyBorder="1" applyAlignment="1"/>
    <xf numFmtId="168" fontId="10" fillId="0" borderId="13" xfId="1" applyNumberFormat="1" applyFont="1" applyBorder="1" applyAlignment="1">
      <alignment vertical="center"/>
    </xf>
    <xf numFmtId="168" fontId="10" fillId="0" borderId="14" xfId="1" applyNumberFormat="1" applyFont="1" applyBorder="1" applyAlignment="1">
      <alignment vertical="center"/>
    </xf>
    <xf numFmtId="168" fontId="10" fillId="0" borderId="2" xfId="1" applyNumberFormat="1" applyFont="1" applyBorder="1" applyAlignment="1"/>
    <xf numFmtId="168" fontId="10" fillId="0" borderId="12" xfId="1" applyNumberFormat="1" applyFont="1" applyBorder="1" applyAlignment="1"/>
    <xf numFmtId="168" fontId="10" fillId="0" borderId="13" xfId="1" applyNumberFormat="1" applyFont="1" applyBorder="1" applyAlignment="1"/>
    <xf numFmtId="0" fontId="0" fillId="0" borderId="13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left" vertical="center" wrapText="1"/>
    </xf>
    <xf numFmtId="0" fontId="7" fillId="2" borderId="15" xfId="1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left" vertical="top" wrapText="1"/>
    </xf>
    <xf numFmtId="0" fontId="7" fillId="0" borderId="15" xfId="1" applyFont="1" applyFill="1" applyBorder="1" applyAlignment="1">
      <alignment horizontal="left" vertical="top" wrapText="1"/>
    </xf>
    <xf numFmtId="0" fontId="7" fillId="2" borderId="4" xfId="1" applyFont="1" applyFill="1" applyBorder="1" applyAlignment="1">
      <alignment horizontal="right" vertical="center" wrapText="1"/>
    </xf>
    <xf numFmtId="0" fontId="7" fillId="2" borderId="5" xfId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0" borderId="64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66" xfId="0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7" fillId="2" borderId="7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2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0" fillId="0" borderId="8" xfId="2" applyFont="1" applyBorder="1" applyAlignment="1">
      <alignment horizontal="left" vertical="top" wrapText="1"/>
    </xf>
    <xf numFmtId="0" fontId="10" fillId="0" borderId="12" xfId="2" applyFont="1" applyBorder="1" applyAlignment="1">
      <alignment horizontal="left" vertical="top" wrapTex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horizontal="left" vertical="top" wrapText="1"/>
    </xf>
    <xf numFmtId="0" fontId="11" fillId="2" borderId="29" xfId="1" applyFont="1" applyFill="1" applyBorder="1" applyAlignment="1">
      <alignment horizontal="center" vertical="center"/>
    </xf>
    <xf numFmtId="0" fontId="11" fillId="2" borderId="34" xfId="1" applyFont="1" applyFill="1" applyBorder="1" applyAlignment="1">
      <alignment horizontal="center" vertical="center"/>
    </xf>
    <xf numFmtId="0" fontId="11" fillId="2" borderId="30" xfId="1" applyFont="1" applyFill="1" applyBorder="1" applyAlignment="1">
      <alignment horizontal="center" vertical="center"/>
    </xf>
    <xf numFmtId="0" fontId="11" fillId="2" borderId="35" xfId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center"/>
    </xf>
    <xf numFmtId="0" fontId="11" fillId="2" borderId="32" xfId="1" applyFont="1" applyFill="1" applyBorder="1" applyAlignment="1">
      <alignment horizontal="center"/>
    </xf>
    <xf numFmtId="0" fontId="11" fillId="2" borderId="33" xfId="1" applyFont="1" applyFill="1" applyBorder="1" applyAlignment="1">
      <alignment horizontal="center"/>
    </xf>
    <xf numFmtId="4" fontId="11" fillId="6" borderId="4" xfId="3" applyNumberFormat="1" applyFont="1" applyFill="1" applyBorder="1" applyAlignment="1">
      <alignment horizontal="center" vertical="center"/>
    </xf>
    <xf numFmtId="4" fontId="11" fillId="6" borderId="6" xfId="3" applyNumberFormat="1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49" fontId="11" fillId="0" borderId="44" xfId="1" applyNumberFormat="1" applyFont="1" applyBorder="1" applyAlignment="1">
      <alignment horizontal="center" vertical="center"/>
    </xf>
    <xf numFmtId="49" fontId="11" fillId="0" borderId="48" xfId="1" applyNumberFormat="1" applyFont="1" applyBorder="1" applyAlignment="1">
      <alignment horizontal="center" vertical="center"/>
    </xf>
    <xf numFmtId="49" fontId="11" fillId="0" borderId="52" xfId="1" applyNumberFormat="1" applyFont="1" applyBorder="1" applyAlignment="1">
      <alignment horizontal="center" vertical="center"/>
    </xf>
    <xf numFmtId="49" fontId="11" fillId="0" borderId="45" xfId="1" applyNumberFormat="1" applyFont="1" applyBorder="1" applyAlignment="1">
      <alignment horizontal="left" vertical="center" wrapText="1"/>
    </xf>
    <xf numFmtId="49" fontId="11" fillId="0" borderId="49" xfId="1" applyNumberFormat="1" applyFont="1" applyBorder="1" applyAlignment="1">
      <alignment horizontal="left" vertical="center" wrapText="1"/>
    </xf>
    <xf numFmtId="49" fontId="11" fillId="0" borderId="53" xfId="1" applyNumberFormat="1" applyFont="1" applyBorder="1" applyAlignment="1">
      <alignment horizontal="left" vertical="center" wrapText="1"/>
    </xf>
    <xf numFmtId="4" fontId="11" fillId="0" borderId="46" xfId="3" applyNumberFormat="1" applyFont="1" applyBorder="1" applyAlignment="1">
      <alignment horizontal="center" vertical="center"/>
    </xf>
    <xf numFmtId="4" fontId="11" fillId="0" borderId="50" xfId="3" applyNumberFormat="1" applyFont="1" applyBorder="1" applyAlignment="1">
      <alignment horizontal="center" vertical="center"/>
    </xf>
    <xf numFmtId="4" fontId="11" fillId="0" borderId="54" xfId="3" applyNumberFormat="1" applyFont="1" applyBorder="1" applyAlignment="1">
      <alignment horizontal="center" vertical="center"/>
    </xf>
    <xf numFmtId="10" fontId="10" fillId="0" borderId="47" xfId="4" applyNumberFormat="1" applyFont="1" applyBorder="1" applyAlignment="1">
      <alignment horizontal="center" vertical="center"/>
    </xf>
    <xf numFmtId="10" fontId="10" fillId="0" borderId="51" xfId="4" applyNumberFormat="1" applyFont="1" applyBorder="1" applyAlignment="1">
      <alignment horizontal="center" vertical="center"/>
    </xf>
    <xf numFmtId="10" fontId="10" fillId="0" borderId="55" xfId="4" applyNumberFormat="1" applyFont="1" applyBorder="1" applyAlignment="1">
      <alignment horizontal="center" vertical="center"/>
    </xf>
    <xf numFmtId="49" fontId="11" fillId="0" borderId="56" xfId="1" applyNumberFormat="1" applyFont="1" applyBorder="1" applyAlignment="1">
      <alignment horizontal="left" vertical="center" wrapText="1"/>
    </xf>
    <xf numFmtId="49" fontId="11" fillId="5" borderId="4" xfId="1" applyNumberFormat="1" applyFont="1" applyFill="1" applyBorder="1" applyAlignment="1">
      <alignment horizontal="right" vertical="center"/>
    </xf>
    <xf numFmtId="49" fontId="11" fillId="5" borderId="5" xfId="1" applyNumberFormat="1" applyFont="1" applyFill="1" applyBorder="1" applyAlignment="1">
      <alignment horizontal="right" vertical="center"/>
    </xf>
    <xf numFmtId="49" fontId="11" fillId="5" borderId="6" xfId="1" applyNumberFormat="1" applyFont="1" applyFill="1" applyBorder="1" applyAlignment="1">
      <alignment horizontal="right" vertical="center"/>
    </xf>
    <xf numFmtId="0" fontId="11" fillId="0" borderId="2" xfId="1" applyFont="1" applyBorder="1" applyAlignment="1">
      <alignment horizontal="left"/>
    </xf>
    <xf numFmtId="0" fontId="11" fillId="0" borderId="57" xfId="1" applyFont="1" applyBorder="1" applyAlignment="1">
      <alignment horizontal="left"/>
    </xf>
    <xf numFmtId="0" fontId="11" fillId="0" borderId="58" xfId="1" applyFont="1" applyBorder="1" applyAlignment="1">
      <alignment horizontal="left"/>
    </xf>
    <xf numFmtId="0" fontId="11" fillId="0" borderId="59" xfId="1" applyFont="1" applyBorder="1" applyAlignment="1">
      <alignment horizontal="left"/>
    </xf>
    <xf numFmtId="0" fontId="11" fillId="0" borderId="26" xfId="1" applyFont="1" applyBorder="1" applyAlignment="1">
      <alignment horizontal="left"/>
    </xf>
    <xf numFmtId="0" fontId="11" fillId="0" borderId="61" xfId="1" applyFont="1" applyBorder="1" applyAlignment="1">
      <alignment horizontal="left"/>
    </xf>
    <xf numFmtId="168" fontId="10" fillId="0" borderId="7" xfId="1" applyNumberFormat="1" applyFont="1" applyBorder="1" applyAlignment="1">
      <alignment horizontal="center"/>
    </xf>
    <xf numFmtId="168" fontId="10" fillId="0" borderId="0" xfId="1" applyNumberFormat="1" applyFont="1" applyBorder="1" applyAlignment="1">
      <alignment horizontal="center"/>
    </xf>
    <xf numFmtId="168" fontId="10" fillId="0" borderId="8" xfId="1" applyNumberFormat="1" applyFont="1" applyBorder="1" applyAlignment="1">
      <alignment horizontal="center"/>
    </xf>
    <xf numFmtId="168" fontId="10" fillId="0" borderId="0" xfId="1" applyNumberFormat="1" applyFont="1" applyBorder="1" applyAlignment="1">
      <alignment horizontal="center" vertical="center"/>
    </xf>
    <xf numFmtId="168" fontId="10" fillId="0" borderId="8" xfId="1" applyNumberFormat="1" applyFont="1" applyBorder="1" applyAlignment="1">
      <alignment horizontal="center" vertical="center"/>
    </xf>
  </cellXfs>
  <cellStyles count="6">
    <cellStyle name="Moeda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Porcentagem 2" xfId="4" xr:uid="{00000000-0005-0000-0000-000005000000}"/>
    <cellStyle name="Separador de milhares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25402</xdr:colOff>
      <xdr:row>0</xdr:row>
      <xdr:rowOff>74887</xdr:rowOff>
    </xdr:from>
    <xdr:to>
      <xdr:col>2</xdr:col>
      <xdr:colOff>349252</xdr:colOff>
      <xdr:row>5</xdr:row>
      <xdr:rowOff>159105</xdr:rowOff>
    </xdr:to>
    <xdr:pic>
      <xdr:nvPicPr>
        <xdr:cNvPr id="2" name="Picture 1" descr="MARAPE   BRASAO oficialb1">
          <a:extLst>
            <a:ext uri="{FF2B5EF4-FFF2-40B4-BE49-F238E27FC236}">
              <a16:creationId xmlns:a16="http://schemas.microsoft.com/office/drawing/2014/main" id="{6A334C79-41F9-484D-91B5-617FB58AA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63552" y="74887"/>
          <a:ext cx="1123950" cy="107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29492</xdr:rowOff>
    </xdr:from>
    <xdr:to>
      <xdr:col>1</xdr:col>
      <xdr:colOff>1895475</xdr:colOff>
      <xdr:row>4</xdr:row>
      <xdr:rowOff>100075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6E7D897-311C-4F0F-B849-EE90EB888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77142"/>
          <a:ext cx="2085975" cy="556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B91E-D849-4601-9431-525D98A5E541}">
  <sheetPr>
    <pageSetUpPr fitToPage="1"/>
  </sheetPr>
  <dimension ref="A1:M45"/>
  <sheetViews>
    <sheetView tabSelected="1" zoomScale="85" zoomScaleNormal="85" workbookViewId="0">
      <selection activeCell="D29" sqref="D29"/>
    </sheetView>
  </sheetViews>
  <sheetFormatPr defaultRowHeight="15" x14ac:dyDescent="0.25"/>
  <cols>
    <col min="1" max="1" width="6.5703125" style="18" bestFit="1" customWidth="1"/>
    <col min="2" max="2" width="12" style="22" customWidth="1"/>
    <col min="3" max="3" width="12.140625" style="22" customWidth="1"/>
    <col min="4" max="4" width="83.85546875" style="18" customWidth="1"/>
    <col min="5" max="5" width="5.85546875" style="18" customWidth="1"/>
    <col min="6" max="6" width="12.7109375" style="18" customWidth="1"/>
    <col min="7" max="7" width="16.28515625" style="18" bestFit="1" customWidth="1"/>
    <col min="8" max="8" width="18" style="18" customWidth="1"/>
    <col min="9" max="9" width="16.7109375" style="23" customWidth="1"/>
    <col min="10" max="10" width="9.7109375" style="18" customWidth="1"/>
    <col min="11" max="11" width="12.7109375" style="18" bestFit="1" customWidth="1"/>
    <col min="12" max="16384" width="9.140625" style="18"/>
  </cols>
  <sheetData>
    <row r="1" spans="1:13" s="1" customFormat="1" ht="16.5" customHeight="1" thickBot="1" x14ac:dyDescent="0.3">
      <c r="A1" s="110"/>
      <c r="B1" s="111"/>
      <c r="C1" s="112"/>
      <c r="D1" s="119" t="s">
        <v>3</v>
      </c>
      <c r="E1" s="120"/>
      <c r="F1" s="120"/>
      <c r="G1" s="120"/>
      <c r="H1" s="120"/>
      <c r="I1" s="121"/>
    </row>
    <row r="2" spans="1:13" s="1" customFormat="1" ht="15.75" customHeight="1" thickBot="1" x14ac:dyDescent="0.3">
      <c r="A2" s="113"/>
      <c r="B2" s="114"/>
      <c r="C2" s="115"/>
      <c r="D2" s="34" t="s">
        <v>4</v>
      </c>
      <c r="E2" s="142" t="s">
        <v>40</v>
      </c>
      <c r="F2" s="143"/>
      <c r="G2" s="143"/>
      <c r="H2" s="143"/>
      <c r="I2" s="144"/>
    </row>
    <row r="3" spans="1:13" s="1" customFormat="1" ht="15" customHeight="1" x14ac:dyDescent="0.25">
      <c r="A3" s="113"/>
      <c r="B3" s="114"/>
      <c r="C3" s="115"/>
      <c r="D3" s="122" t="s">
        <v>53</v>
      </c>
      <c r="E3" s="136" t="s">
        <v>79</v>
      </c>
      <c r="F3" s="137"/>
      <c r="G3" s="137"/>
      <c r="H3" s="137"/>
      <c r="I3" s="138"/>
    </row>
    <row r="4" spans="1:13" s="1" customFormat="1" ht="15" customHeight="1" thickBot="1" x14ac:dyDescent="0.3">
      <c r="A4" s="113"/>
      <c r="B4" s="114"/>
      <c r="C4" s="115"/>
      <c r="D4" s="123"/>
      <c r="E4" s="139"/>
      <c r="F4" s="140"/>
      <c r="G4" s="140"/>
      <c r="H4" s="140"/>
      <c r="I4" s="141"/>
    </row>
    <row r="5" spans="1:13" s="1" customFormat="1" ht="15.75" thickBot="1" x14ac:dyDescent="0.3">
      <c r="A5" s="113"/>
      <c r="B5" s="114"/>
      <c r="C5" s="115"/>
      <c r="D5" s="124" t="s">
        <v>52</v>
      </c>
      <c r="E5" s="119"/>
      <c r="F5" s="120"/>
      <c r="G5" s="120"/>
      <c r="H5" s="120"/>
      <c r="I5" s="121"/>
    </row>
    <row r="6" spans="1:13" s="1" customFormat="1" ht="15.75" customHeight="1" thickBot="1" x14ac:dyDescent="0.3">
      <c r="A6" s="116"/>
      <c r="B6" s="117"/>
      <c r="C6" s="118"/>
      <c r="D6" s="125"/>
      <c r="E6" s="126" t="s">
        <v>11</v>
      </c>
      <c r="F6" s="127"/>
      <c r="G6" s="127"/>
      <c r="H6" s="127"/>
      <c r="I6" s="35">
        <v>0.25919999999999999</v>
      </c>
      <c r="K6" s="2"/>
    </row>
    <row r="7" spans="1:13" s="1" customFormat="1" ht="30.75" thickBot="1" x14ac:dyDescent="0.3">
      <c r="A7" s="36" t="s">
        <v>0</v>
      </c>
      <c r="B7" s="37" t="s">
        <v>12</v>
      </c>
      <c r="C7" s="37" t="s">
        <v>13</v>
      </c>
      <c r="D7" s="37" t="s">
        <v>5</v>
      </c>
      <c r="E7" s="37" t="s">
        <v>6</v>
      </c>
      <c r="F7" s="38" t="s">
        <v>1</v>
      </c>
      <c r="G7" s="38" t="s">
        <v>14</v>
      </c>
      <c r="H7" s="39" t="s">
        <v>7</v>
      </c>
      <c r="I7" s="40" t="s">
        <v>8</v>
      </c>
    </row>
    <row r="8" spans="1:13" s="1" customFormat="1" ht="16.5" thickBot="1" x14ac:dyDescent="0.3">
      <c r="A8" s="50">
        <v>1</v>
      </c>
      <c r="B8" s="45"/>
      <c r="C8" s="45"/>
      <c r="D8" s="44" t="s">
        <v>15</v>
      </c>
      <c r="E8" s="46"/>
      <c r="F8" s="46"/>
      <c r="G8" s="46"/>
      <c r="H8" s="46"/>
      <c r="I8" s="47"/>
    </row>
    <row r="9" spans="1:13" s="1" customFormat="1" x14ac:dyDescent="0.25">
      <c r="A9" s="48" t="s">
        <v>2</v>
      </c>
      <c r="B9" s="51" t="s">
        <v>24</v>
      </c>
      <c r="C9" s="25" t="s">
        <v>23</v>
      </c>
      <c r="D9" s="16" t="s">
        <v>76</v>
      </c>
      <c r="E9" s="49" t="s">
        <v>21</v>
      </c>
      <c r="F9" s="52">
        <v>6</v>
      </c>
      <c r="G9" s="89">
        <v>275.05</v>
      </c>
      <c r="H9" s="10">
        <f>ROUND((G9*(1+$I$6)),2)</f>
        <v>346.34</v>
      </c>
      <c r="I9" s="11">
        <f>ROUND((H9*F9),2)</f>
        <v>2078.04</v>
      </c>
    </row>
    <row r="10" spans="1:13" s="1" customFormat="1" x14ac:dyDescent="0.25">
      <c r="A10" s="48" t="s">
        <v>60</v>
      </c>
      <c r="B10" s="51">
        <v>85422</v>
      </c>
      <c r="C10" s="25" t="s">
        <v>23</v>
      </c>
      <c r="D10" s="16" t="s">
        <v>69</v>
      </c>
      <c r="E10" s="49" t="s">
        <v>21</v>
      </c>
      <c r="F10" s="52">
        <v>150</v>
      </c>
      <c r="G10" s="89">
        <v>6.31</v>
      </c>
      <c r="H10" s="10">
        <f>ROUND((G10*(1+$I$6)),2)</f>
        <v>7.95</v>
      </c>
      <c r="I10" s="11">
        <f>ROUND((H10*F10),2)</f>
        <v>1192.5</v>
      </c>
    </row>
    <row r="11" spans="1:13" s="1" customFormat="1" x14ac:dyDescent="0.25">
      <c r="A11" s="48" t="s">
        <v>61</v>
      </c>
      <c r="B11" s="51">
        <v>93207</v>
      </c>
      <c r="C11" s="25" t="s">
        <v>23</v>
      </c>
      <c r="D11" s="16" t="s">
        <v>62</v>
      </c>
      <c r="E11" s="49" t="s">
        <v>21</v>
      </c>
      <c r="F11" s="52">
        <v>14</v>
      </c>
      <c r="G11" s="89">
        <v>737.65</v>
      </c>
      <c r="H11" s="10">
        <f>ROUND((G11*(1+$I$6)),2)</f>
        <v>928.85</v>
      </c>
      <c r="I11" s="11">
        <f>ROUND((H11*F11),2)</f>
        <v>13003.9</v>
      </c>
    </row>
    <row r="12" spans="1:13" s="1" customFormat="1" ht="15.75" thickBot="1" x14ac:dyDescent="0.3">
      <c r="A12" s="3"/>
      <c r="B12" s="4"/>
      <c r="C12" s="4"/>
      <c r="D12" s="5"/>
      <c r="E12" s="6"/>
      <c r="F12" s="7"/>
      <c r="G12" s="7"/>
      <c r="H12" s="8" t="s">
        <v>17</v>
      </c>
      <c r="I12" s="9">
        <f>SUM(I9:I11)</f>
        <v>16274.439999999999</v>
      </c>
      <c r="L12" s="12"/>
      <c r="M12" s="13"/>
    </row>
    <row r="13" spans="1:13" s="1" customFormat="1" ht="16.5" thickBot="1" x14ac:dyDescent="0.3">
      <c r="A13" s="27"/>
      <c r="B13" s="28"/>
      <c r="C13" s="28"/>
      <c r="D13" s="28"/>
      <c r="E13" s="28"/>
      <c r="F13" s="28"/>
      <c r="G13" s="28"/>
      <c r="H13" s="28"/>
      <c r="I13" s="33"/>
      <c r="K13" s="13"/>
      <c r="L13" s="12"/>
      <c r="M13" s="13"/>
    </row>
    <row r="14" spans="1:13" s="1" customFormat="1" ht="16.5" thickBot="1" x14ac:dyDescent="0.3">
      <c r="A14" s="29">
        <v>2</v>
      </c>
      <c r="B14" s="30"/>
      <c r="C14" s="30"/>
      <c r="D14" s="44" t="s">
        <v>48</v>
      </c>
      <c r="E14" s="31"/>
      <c r="F14" s="31"/>
      <c r="G14" s="31"/>
      <c r="H14" s="31"/>
      <c r="I14" s="32"/>
      <c r="J14" s="18"/>
      <c r="K14" s="24"/>
    </row>
    <row r="15" spans="1:13" s="1" customFormat="1" x14ac:dyDescent="0.25">
      <c r="A15" s="17" t="s">
        <v>49</v>
      </c>
      <c r="B15" s="14">
        <v>93358</v>
      </c>
      <c r="C15" s="25" t="s">
        <v>23</v>
      </c>
      <c r="D15" s="16" t="s">
        <v>63</v>
      </c>
      <c r="E15" s="49" t="s">
        <v>43</v>
      </c>
      <c r="F15" s="15">
        <f>F20*4.43</f>
        <v>469.58</v>
      </c>
      <c r="G15" s="90">
        <v>62.42</v>
      </c>
      <c r="H15" s="10">
        <f t="shared" ref="H15:H17" si="0">ROUND((G15*(1+$I$6)),2)</f>
        <v>78.599999999999994</v>
      </c>
      <c r="I15" s="11">
        <f t="shared" ref="I15:I17" si="1">ROUND((H15*F15),2)</f>
        <v>36908.99</v>
      </c>
      <c r="J15" s="18"/>
      <c r="K15" s="24"/>
    </row>
    <row r="16" spans="1:13" s="1" customFormat="1" x14ac:dyDescent="0.25">
      <c r="A16" s="17" t="s">
        <v>50</v>
      </c>
      <c r="B16" s="14">
        <v>96995</v>
      </c>
      <c r="C16" s="25" t="s">
        <v>23</v>
      </c>
      <c r="D16" s="16" t="s">
        <v>64</v>
      </c>
      <c r="E16" s="49" t="s">
        <v>43</v>
      </c>
      <c r="F16" s="15">
        <f>F20*2.6</f>
        <v>275.60000000000002</v>
      </c>
      <c r="G16" s="90">
        <v>37.840000000000003</v>
      </c>
      <c r="H16" s="10">
        <f t="shared" si="0"/>
        <v>47.65</v>
      </c>
      <c r="I16" s="11">
        <f t="shared" si="1"/>
        <v>13132.34</v>
      </c>
      <c r="J16" s="18"/>
      <c r="K16" s="24"/>
    </row>
    <row r="17" spans="1:13" s="1" customFormat="1" ht="30" x14ac:dyDescent="0.25">
      <c r="A17" s="17" t="s">
        <v>51</v>
      </c>
      <c r="B17" s="14">
        <v>72838</v>
      </c>
      <c r="C17" s="25" t="s">
        <v>23</v>
      </c>
      <c r="D17" s="16" t="s">
        <v>78</v>
      </c>
      <c r="E17" s="49" t="s">
        <v>65</v>
      </c>
      <c r="F17" s="15">
        <f>F20*17</f>
        <v>1802</v>
      </c>
      <c r="G17" s="90">
        <v>0.79</v>
      </c>
      <c r="H17" s="10">
        <f t="shared" si="0"/>
        <v>0.99</v>
      </c>
      <c r="I17" s="11">
        <f t="shared" si="1"/>
        <v>1783.98</v>
      </c>
      <c r="J17" s="18"/>
      <c r="K17" s="24"/>
    </row>
    <row r="18" spans="1:13" s="1" customFormat="1" ht="15.75" thickBot="1" x14ac:dyDescent="0.3">
      <c r="A18" s="3"/>
      <c r="B18" s="4"/>
      <c r="C18" s="4"/>
      <c r="D18" s="5"/>
      <c r="E18" s="6"/>
      <c r="F18" s="7"/>
      <c r="G18" s="7"/>
      <c r="H18" s="8" t="s">
        <v>17</v>
      </c>
      <c r="I18" s="9">
        <f>SUM(I15:I17)</f>
        <v>51825.310000000005</v>
      </c>
      <c r="J18" s="18"/>
      <c r="K18" s="24"/>
    </row>
    <row r="19" spans="1:13" s="1" customFormat="1" ht="16.5" thickBot="1" x14ac:dyDescent="0.3">
      <c r="A19" s="29">
        <v>3</v>
      </c>
      <c r="B19" s="30"/>
      <c r="C19" s="30"/>
      <c r="D19" s="44" t="s">
        <v>42</v>
      </c>
      <c r="E19" s="31"/>
      <c r="F19" s="31"/>
      <c r="G19" s="31"/>
      <c r="H19" s="31"/>
      <c r="I19" s="32"/>
      <c r="J19" s="18"/>
      <c r="K19" s="24"/>
    </row>
    <row r="20" spans="1:13" s="26" customFormat="1" ht="30" x14ac:dyDescent="0.25">
      <c r="A20" s="17" t="s">
        <v>20</v>
      </c>
      <c r="B20" s="14" t="s">
        <v>22</v>
      </c>
      <c r="C20" s="25" t="s">
        <v>45</v>
      </c>
      <c r="D20" s="16" t="s">
        <v>44</v>
      </c>
      <c r="E20" s="49" t="s">
        <v>25</v>
      </c>
      <c r="F20" s="15">
        <v>106</v>
      </c>
      <c r="G20" s="90">
        <v>2141.46</v>
      </c>
      <c r="H20" s="10">
        <f>ROUND((G20*(1+$I$6)),2)</f>
        <v>2696.53</v>
      </c>
      <c r="I20" s="11">
        <f>ROUND((H20*F20),2)</f>
        <v>285832.18</v>
      </c>
      <c r="J20" s="18"/>
      <c r="K20" s="22"/>
      <c r="L20" s="22"/>
      <c r="M20" s="22"/>
    </row>
    <row r="21" spans="1:13" s="26" customFormat="1" x14ac:dyDescent="0.25">
      <c r="A21" s="17" t="s">
        <v>38</v>
      </c>
      <c r="B21" s="51" t="s">
        <v>46</v>
      </c>
      <c r="C21" s="25" t="s">
        <v>23</v>
      </c>
      <c r="D21" s="16" t="s">
        <v>67</v>
      </c>
      <c r="E21" s="49" t="s">
        <v>25</v>
      </c>
      <c r="F21" s="15">
        <v>106</v>
      </c>
      <c r="G21" s="91">
        <v>194.89</v>
      </c>
      <c r="H21" s="10">
        <f>ROUND((G21*(1+$I$6)),2)</f>
        <v>245.41</v>
      </c>
      <c r="I21" s="11">
        <f t="shared" ref="I21:I29" si="2">ROUND((H21*F21),2)</f>
        <v>26013.46</v>
      </c>
      <c r="J21" s="18"/>
      <c r="K21" s="22"/>
      <c r="L21" s="22"/>
      <c r="M21" s="22"/>
    </row>
    <row r="22" spans="1:13" s="26" customFormat="1" ht="30" x14ac:dyDescent="0.25">
      <c r="A22" s="17" t="s">
        <v>39</v>
      </c>
      <c r="B22" s="51" t="s">
        <v>66</v>
      </c>
      <c r="C22" s="25" t="s">
        <v>23</v>
      </c>
      <c r="D22" s="16" t="s">
        <v>68</v>
      </c>
      <c r="E22" s="49" t="s">
        <v>25</v>
      </c>
      <c r="F22" s="15">
        <v>106</v>
      </c>
      <c r="G22" s="91">
        <v>134.41</v>
      </c>
      <c r="H22" s="10">
        <f>ROUND((G22*(1+$I$6)),2)</f>
        <v>169.25</v>
      </c>
      <c r="I22" s="11">
        <f t="shared" si="2"/>
        <v>17940.5</v>
      </c>
      <c r="J22" s="18"/>
      <c r="K22" s="22"/>
      <c r="L22" s="22"/>
      <c r="M22" s="22"/>
    </row>
    <row r="23" spans="1:13" s="26" customFormat="1" ht="15.75" thickBot="1" x14ac:dyDescent="0.3">
      <c r="A23" s="3"/>
      <c r="B23" s="4"/>
      <c r="C23" s="4"/>
      <c r="D23" s="5"/>
      <c r="E23" s="6"/>
      <c r="F23" s="7"/>
      <c r="G23" s="7"/>
      <c r="H23" s="8" t="s">
        <v>17</v>
      </c>
      <c r="I23" s="9">
        <f>SUM(I20:I22)</f>
        <v>329786.14</v>
      </c>
      <c r="J23" s="18"/>
      <c r="K23" s="22"/>
      <c r="L23" s="22"/>
      <c r="M23" s="22"/>
    </row>
    <row r="24" spans="1:13" s="1" customFormat="1" ht="16.5" thickBot="1" x14ac:dyDescent="0.3">
      <c r="A24" s="29">
        <v>4</v>
      </c>
      <c r="B24" s="30"/>
      <c r="C24" s="30"/>
      <c r="D24" s="44" t="s">
        <v>81</v>
      </c>
      <c r="E24" s="31"/>
      <c r="F24" s="31"/>
      <c r="G24" s="31"/>
      <c r="H24" s="31"/>
      <c r="I24" s="32"/>
      <c r="J24" s="18"/>
      <c r="K24" s="24"/>
    </row>
    <row r="25" spans="1:13" s="26" customFormat="1" x14ac:dyDescent="0.25">
      <c r="A25" s="17" t="s">
        <v>75</v>
      </c>
      <c r="B25" s="51">
        <v>90694</v>
      </c>
      <c r="C25" s="25" t="s">
        <v>23</v>
      </c>
      <c r="D25" s="16" t="s">
        <v>73</v>
      </c>
      <c r="E25" s="49" t="s">
        <v>47</v>
      </c>
      <c r="F25" s="15">
        <f>F20*15</f>
        <v>1590</v>
      </c>
      <c r="G25" s="91">
        <v>21.72</v>
      </c>
      <c r="H25" s="10">
        <f t="shared" ref="H25:H29" si="3">ROUND((G25*(1+$I$6)),2)</f>
        <v>27.35</v>
      </c>
      <c r="I25" s="11">
        <f t="shared" si="2"/>
        <v>43486.5</v>
      </c>
      <c r="J25" s="18"/>
      <c r="K25" s="22"/>
      <c r="L25" s="22"/>
      <c r="M25" s="22"/>
    </row>
    <row r="26" spans="1:13" s="26" customFormat="1" ht="30" x14ac:dyDescent="0.25">
      <c r="A26" s="17" t="s">
        <v>86</v>
      </c>
      <c r="B26" s="51">
        <v>89798</v>
      </c>
      <c r="C26" s="25" t="s">
        <v>23</v>
      </c>
      <c r="D26" s="16" t="s">
        <v>74</v>
      </c>
      <c r="E26" s="49" t="s">
        <v>47</v>
      </c>
      <c r="F26" s="15">
        <f>F20*4</f>
        <v>424</v>
      </c>
      <c r="G26" s="91">
        <v>9.83</v>
      </c>
      <c r="H26" s="10">
        <f t="shared" si="3"/>
        <v>12.38</v>
      </c>
      <c r="I26" s="11">
        <f t="shared" si="2"/>
        <v>5249.12</v>
      </c>
      <c r="J26" s="18"/>
      <c r="K26" s="22"/>
      <c r="L26" s="22"/>
      <c r="M26" s="22"/>
    </row>
    <row r="27" spans="1:13" s="26" customFormat="1" x14ac:dyDescent="0.25">
      <c r="A27" s="17" t="s">
        <v>87</v>
      </c>
      <c r="B27" s="51">
        <v>89850</v>
      </c>
      <c r="C27" s="25" t="s">
        <v>23</v>
      </c>
      <c r="D27" s="16" t="s">
        <v>70</v>
      </c>
      <c r="E27" s="49" t="s">
        <v>25</v>
      </c>
      <c r="F27" s="15">
        <f>F20*4</f>
        <v>424</v>
      </c>
      <c r="G27" s="91">
        <v>18.62</v>
      </c>
      <c r="H27" s="10">
        <f t="shared" ref="H27:H28" si="4">ROUND((G27*(1+$I$6)),2)</f>
        <v>23.45</v>
      </c>
      <c r="I27" s="11">
        <f t="shared" ref="I27:I28" si="5">ROUND((H27*F27),2)</f>
        <v>9942.7999999999993</v>
      </c>
      <c r="J27" s="18"/>
      <c r="K27" s="22"/>
      <c r="L27" s="22"/>
      <c r="M27" s="22"/>
    </row>
    <row r="28" spans="1:13" s="26" customFormat="1" x14ac:dyDescent="0.25">
      <c r="A28" s="17" t="s">
        <v>88</v>
      </c>
      <c r="B28" s="51">
        <v>89833</v>
      </c>
      <c r="C28" s="25" t="s">
        <v>23</v>
      </c>
      <c r="D28" s="16" t="s">
        <v>71</v>
      </c>
      <c r="E28" s="49" t="s">
        <v>25</v>
      </c>
      <c r="F28" s="15">
        <f>F20*2</f>
        <v>212</v>
      </c>
      <c r="G28" s="91">
        <v>25.12</v>
      </c>
      <c r="H28" s="10">
        <f t="shared" si="4"/>
        <v>31.63</v>
      </c>
      <c r="I28" s="11">
        <f t="shared" si="5"/>
        <v>6705.56</v>
      </c>
      <c r="J28" s="18"/>
      <c r="K28" s="22"/>
      <c r="L28" s="22"/>
      <c r="M28" s="22"/>
    </row>
    <row r="29" spans="1:13" s="26" customFormat="1" ht="30" x14ac:dyDescent="0.25">
      <c r="A29" s="17" t="s">
        <v>89</v>
      </c>
      <c r="B29" s="51">
        <v>89711</v>
      </c>
      <c r="C29" s="25" t="s">
        <v>23</v>
      </c>
      <c r="D29" s="16" t="s">
        <v>72</v>
      </c>
      <c r="E29" s="49" t="s">
        <v>47</v>
      </c>
      <c r="F29" s="15">
        <f>F20*6</f>
        <v>636</v>
      </c>
      <c r="G29" s="91">
        <v>15.47</v>
      </c>
      <c r="H29" s="10">
        <f t="shared" si="3"/>
        <v>19.48</v>
      </c>
      <c r="I29" s="11">
        <f t="shared" si="2"/>
        <v>12389.28</v>
      </c>
      <c r="J29" s="18"/>
      <c r="K29" s="22"/>
      <c r="L29" s="22"/>
      <c r="M29" s="22"/>
    </row>
    <row r="30" spans="1:13" ht="15.75" thickBot="1" x14ac:dyDescent="0.3">
      <c r="A30" s="3"/>
      <c r="B30" s="4"/>
      <c r="C30" s="4"/>
      <c r="D30" s="5"/>
      <c r="E30" s="6"/>
      <c r="F30" s="7"/>
      <c r="G30" s="7"/>
      <c r="H30" s="8" t="s">
        <v>17</v>
      </c>
      <c r="I30" s="9">
        <f>SUM(I25:I29)</f>
        <v>77773.259999999995</v>
      </c>
    </row>
    <row r="31" spans="1:13" s="1" customFormat="1" ht="16.5" thickBot="1" x14ac:dyDescent="0.3">
      <c r="A31" s="29">
        <v>5</v>
      </c>
      <c r="B31" s="30"/>
      <c r="C31" s="30"/>
      <c r="D31" s="44" t="s">
        <v>77</v>
      </c>
      <c r="E31" s="31"/>
      <c r="F31" s="31"/>
      <c r="G31" s="31"/>
      <c r="H31" s="31"/>
      <c r="I31" s="32"/>
      <c r="J31" s="18"/>
      <c r="K31" s="24"/>
    </row>
    <row r="32" spans="1:13" s="26" customFormat="1" x14ac:dyDescent="0.25">
      <c r="A32" s="17" t="s">
        <v>90</v>
      </c>
      <c r="B32" s="51"/>
      <c r="C32" s="25"/>
      <c r="D32" s="16" t="s">
        <v>93</v>
      </c>
      <c r="E32" s="49" t="s">
        <v>25</v>
      </c>
      <c r="F32" s="15">
        <v>1</v>
      </c>
      <c r="G32" s="91">
        <v>19026.400000000001</v>
      </c>
      <c r="H32" s="10">
        <f>G32</f>
        <v>19026.400000000001</v>
      </c>
      <c r="I32" s="11">
        <f t="shared" ref="I32" si="6">ROUND((H32*F32),2)</f>
        <v>19026.400000000001</v>
      </c>
      <c r="J32" s="18"/>
      <c r="K32" s="22"/>
      <c r="L32" s="22"/>
      <c r="M32" s="22"/>
    </row>
    <row r="33" spans="1:9" ht="15.75" thickBot="1" x14ac:dyDescent="0.3">
      <c r="A33" s="3"/>
      <c r="B33" s="4"/>
      <c r="C33" s="4"/>
      <c r="D33" s="5"/>
      <c r="E33" s="6"/>
      <c r="F33" s="7"/>
      <c r="G33" s="7"/>
      <c r="H33" s="8" t="s">
        <v>17</v>
      </c>
      <c r="I33" s="9">
        <f>SUM(I32)</f>
        <v>19026.400000000001</v>
      </c>
    </row>
    <row r="34" spans="1:9" ht="15.75" thickBot="1" x14ac:dyDescent="0.3">
      <c r="A34" s="93"/>
      <c r="B34" s="94"/>
      <c r="C34" s="94"/>
      <c r="D34" s="95"/>
      <c r="E34" s="96"/>
      <c r="F34" s="97"/>
      <c r="G34" s="97"/>
      <c r="H34" s="98"/>
      <c r="I34" s="99"/>
    </row>
    <row r="35" spans="1:9" ht="15.75" thickBot="1" x14ac:dyDescent="0.3">
      <c r="A35" s="93"/>
      <c r="B35" s="94"/>
      <c r="C35" s="94"/>
      <c r="D35" s="95"/>
      <c r="E35" s="96"/>
      <c r="F35" s="97"/>
      <c r="G35" s="97"/>
      <c r="H35" s="98"/>
      <c r="I35" s="99"/>
    </row>
    <row r="36" spans="1:9" ht="16.5" thickBot="1" x14ac:dyDescent="0.3">
      <c r="A36" s="27"/>
      <c r="B36" s="28"/>
      <c r="C36" s="28"/>
      <c r="D36" s="28"/>
      <c r="E36" s="28"/>
      <c r="F36" s="28"/>
      <c r="G36" s="28"/>
      <c r="H36" s="28"/>
      <c r="I36" s="33"/>
    </row>
    <row r="37" spans="1:9" ht="16.5" thickBot="1" x14ac:dyDescent="0.3">
      <c r="A37" s="128" t="s">
        <v>19</v>
      </c>
      <c r="B37" s="129"/>
      <c r="C37" s="129"/>
      <c r="D37" s="129"/>
      <c r="E37" s="129"/>
      <c r="F37" s="129"/>
      <c r="G37" s="129"/>
      <c r="H37" s="130"/>
      <c r="I37" s="41">
        <f>I33+I30+I23+I18+I12</f>
        <v>494685.55000000005</v>
      </c>
    </row>
    <row r="38" spans="1:9" x14ac:dyDescent="0.25">
      <c r="A38" s="131"/>
      <c r="B38" s="132"/>
      <c r="C38" s="132"/>
      <c r="D38" s="132"/>
      <c r="E38" s="132"/>
      <c r="F38" s="132"/>
      <c r="G38" s="132"/>
      <c r="H38" s="132"/>
      <c r="I38" s="133"/>
    </row>
    <row r="39" spans="1:9" x14ac:dyDescent="0.25">
      <c r="A39" s="19"/>
      <c r="B39" s="18"/>
      <c r="C39" s="18"/>
      <c r="D39" s="134" t="s">
        <v>10</v>
      </c>
      <c r="E39" s="134" t="s">
        <v>9</v>
      </c>
      <c r="F39" s="134"/>
      <c r="G39" s="134"/>
      <c r="H39" s="134"/>
      <c r="I39" s="135"/>
    </row>
    <row r="40" spans="1:9" x14ac:dyDescent="0.25">
      <c r="A40" s="19"/>
      <c r="B40" s="18"/>
      <c r="C40" s="18"/>
      <c r="D40" s="134"/>
      <c r="E40" s="134"/>
      <c r="F40" s="134"/>
      <c r="G40" s="134"/>
      <c r="H40" s="134"/>
      <c r="I40" s="135"/>
    </row>
    <row r="41" spans="1:9" x14ac:dyDescent="0.25">
      <c r="A41" s="19"/>
      <c r="B41" s="18"/>
      <c r="C41" s="18"/>
      <c r="D41" s="134"/>
      <c r="E41" s="134"/>
      <c r="F41" s="134"/>
      <c r="G41" s="134"/>
      <c r="H41" s="134"/>
      <c r="I41" s="135"/>
    </row>
    <row r="42" spans="1:9" x14ac:dyDescent="0.25">
      <c r="A42" s="19"/>
      <c r="B42" s="18"/>
      <c r="C42" s="18"/>
      <c r="D42" s="42" t="s">
        <v>84</v>
      </c>
      <c r="E42" s="134" t="s">
        <v>16</v>
      </c>
      <c r="F42" s="134"/>
      <c r="G42" s="134"/>
      <c r="H42" s="134"/>
      <c r="I42" s="135"/>
    </row>
    <row r="43" spans="1:9" ht="15.75" thickBot="1" x14ac:dyDescent="0.3">
      <c r="A43" s="20"/>
      <c r="B43" s="21"/>
      <c r="C43" s="21"/>
      <c r="D43" s="43" t="s">
        <v>85</v>
      </c>
      <c r="E43" s="107" t="s">
        <v>18</v>
      </c>
      <c r="F43" s="108"/>
      <c r="G43" s="108"/>
      <c r="H43" s="108"/>
      <c r="I43" s="109"/>
    </row>
    <row r="45" spans="1:9" x14ac:dyDescent="0.25">
      <c r="A45" s="53"/>
      <c r="B45"/>
    </row>
  </sheetData>
  <mergeCells count="14">
    <mergeCell ref="E43:I43"/>
    <mergeCell ref="A1:C6"/>
    <mergeCell ref="D1:I1"/>
    <mergeCell ref="D3:D4"/>
    <mergeCell ref="D5:D6"/>
    <mergeCell ref="E5:I5"/>
    <mergeCell ref="E6:H6"/>
    <mergeCell ref="A37:H37"/>
    <mergeCell ref="A38:I38"/>
    <mergeCell ref="D39:D41"/>
    <mergeCell ref="E39:I41"/>
    <mergeCell ref="E42:I42"/>
    <mergeCell ref="E3:I4"/>
    <mergeCell ref="E2:I2"/>
  </mergeCells>
  <phoneticPr fontId="12" type="noConversion"/>
  <printOptions horizontalCentered="1"/>
  <pageMargins left="0.31496062992125984" right="0.31496062992125984" top="0.39370078740157483" bottom="0.39370078740157483" header="0.31496062992125984" footer="0.31496062992125984"/>
  <pageSetup paperSize="9" scale="73" orientation="landscape" horizontalDpi="4294967293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EE95-E708-4D23-85B4-9E15ABA4DFF6}">
  <sheetPr>
    <pageSetUpPr fitToPage="1"/>
  </sheetPr>
  <dimension ref="A1:O35"/>
  <sheetViews>
    <sheetView zoomScaleNormal="100" workbookViewId="0">
      <selection activeCell="H18" sqref="H18"/>
    </sheetView>
  </sheetViews>
  <sheetFormatPr defaultColWidth="9.140625" defaultRowHeight="12.75" x14ac:dyDescent="0.2"/>
  <cols>
    <col min="1" max="1" width="4.85546875" style="54" bestFit="1" customWidth="1"/>
    <col min="2" max="2" width="29.7109375" style="54" customWidth="1"/>
    <col min="3" max="7" width="8.85546875" style="54" customWidth="1"/>
    <col min="8" max="8" width="8.5703125" style="54" customWidth="1"/>
    <col min="9" max="9" width="9.140625" style="54"/>
    <col min="10" max="10" width="8.28515625" style="54" customWidth="1"/>
    <col min="11" max="16384" width="9.140625" style="54"/>
  </cols>
  <sheetData>
    <row r="1" spans="1:15" ht="19.5" thickBot="1" x14ac:dyDescent="0.25">
      <c r="A1" s="145" t="s">
        <v>59</v>
      </c>
      <c r="B1" s="146"/>
      <c r="C1" s="146"/>
      <c r="D1" s="146"/>
      <c r="E1" s="146"/>
      <c r="F1" s="146"/>
      <c r="G1" s="146"/>
      <c r="H1" s="146"/>
      <c r="I1" s="146"/>
      <c r="J1" s="147"/>
    </row>
    <row r="2" spans="1:15" x14ac:dyDescent="0.2">
      <c r="A2" s="148"/>
      <c r="B2" s="149"/>
      <c r="C2" s="154" t="s">
        <v>53</v>
      </c>
      <c r="D2" s="155"/>
      <c r="E2" s="155"/>
      <c r="F2" s="155"/>
      <c r="G2" s="155"/>
      <c r="H2" s="155"/>
      <c r="I2" s="155"/>
      <c r="J2" s="156"/>
    </row>
    <row r="3" spans="1:15" x14ac:dyDescent="0.2">
      <c r="A3" s="150"/>
      <c r="B3" s="151"/>
      <c r="C3" s="157"/>
      <c r="D3" s="158"/>
      <c r="E3" s="158"/>
      <c r="F3" s="158"/>
      <c r="G3" s="158"/>
      <c r="H3" s="158"/>
      <c r="I3" s="158"/>
      <c r="J3" s="159"/>
    </row>
    <row r="4" spans="1:15" x14ac:dyDescent="0.2">
      <c r="A4" s="150"/>
      <c r="B4" s="151"/>
      <c r="C4" s="157" t="s">
        <v>52</v>
      </c>
      <c r="D4" s="158"/>
      <c r="E4" s="158"/>
      <c r="F4" s="158"/>
      <c r="G4" s="158"/>
      <c r="H4" s="158"/>
      <c r="I4" s="158"/>
      <c r="J4" s="159"/>
    </row>
    <row r="5" spans="1:15" ht="13.5" thickBot="1" x14ac:dyDescent="0.25">
      <c r="A5" s="152"/>
      <c r="B5" s="153"/>
      <c r="C5" s="160"/>
      <c r="D5" s="161"/>
      <c r="E5" s="161"/>
      <c r="F5" s="161"/>
      <c r="G5" s="161"/>
      <c r="H5" s="161"/>
      <c r="I5" s="161"/>
      <c r="J5" s="162"/>
    </row>
    <row r="6" spans="1:15" ht="13.5" thickBot="1" x14ac:dyDescent="0.25">
      <c r="A6" s="55"/>
      <c r="B6" s="56"/>
      <c r="C6" s="57"/>
      <c r="D6" s="57"/>
      <c r="E6" s="57"/>
      <c r="F6" s="57"/>
      <c r="G6" s="57"/>
      <c r="H6" s="57"/>
      <c r="I6" s="58"/>
      <c r="J6" s="59"/>
    </row>
    <row r="7" spans="1:15" ht="13.5" thickBot="1" x14ac:dyDescent="0.25">
      <c r="A7" s="163" t="s">
        <v>0</v>
      </c>
      <c r="B7" s="165" t="s">
        <v>26</v>
      </c>
      <c r="C7" s="167" t="s">
        <v>27</v>
      </c>
      <c r="D7" s="167"/>
      <c r="E7" s="167"/>
      <c r="F7" s="167"/>
      <c r="G7" s="167"/>
      <c r="H7" s="167"/>
      <c r="I7" s="168" t="s">
        <v>28</v>
      </c>
      <c r="J7" s="169"/>
    </row>
    <row r="8" spans="1:15" ht="13.5" thickBot="1" x14ac:dyDescent="0.25">
      <c r="A8" s="164"/>
      <c r="B8" s="166"/>
      <c r="C8" s="60" t="s">
        <v>54</v>
      </c>
      <c r="D8" s="61" t="s">
        <v>55</v>
      </c>
      <c r="E8" s="61" t="s">
        <v>56</v>
      </c>
      <c r="F8" s="61" t="s">
        <v>57</v>
      </c>
      <c r="G8" s="61" t="s">
        <v>58</v>
      </c>
      <c r="H8" s="61" t="s">
        <v>22</v>
      </c>
      <c r="I8" s="62" t="s">
        <v>29</v>
      </c>
      <c r="J8" s="63" t="s">
        <v>30</v>
      </c>
    </row>
    <row r="9" spans="1:15" ht="13.5" thickBot="1" x14ac:dyDescent="0.25">
      <c r="A9" s="172"/>
      <c r="B9" s="173"/>
      <c r="C9" s="64"/>
      <c r="D9" s="64"/>
      <c r="E9" s="64"/>
      <c r="F9" s="64"/>
      <c r="G9" s="64"/>
      <c r="H9" s="64"/>
      <c r="I9" s="64"/>
      <c r="J9" s="65"/>
    </row>
    <row r="10" spans="1:15" x14ac:dyDescent="0.2">
      <c r="A10" s="174" t="s">
        <v>31</v>
      </c>
      <c r="B10" s="177" t="s">
        <v>15</v>
      </c>
      <c r="C10" s="66">
        <f>C12*$I10</f>
        <v>16274.439999999999</v>
      </c>
      <c r="D10" s="66"/>
      <c r="E10" s="66"/>
      <c r="F10" s="66"/>
      <c r="G10" s="66"/>
      <c r="H10" s="66"/>
      <c r="I10" s="180">
        <f>'PLANILHA ORÇAMENTÁRIA'!I12</f>
        <v>16274.439999999999</v>
      </c>
      <c r="J10" s="183">
        <f>I10/$I$25</f>
        <v>3.2898555456087199E-2</v>
      </c>
      <c r="L10" s="67"/>
    </row>
    <row r="11" spans="1:15" x14ac:dyDescent="0.2">
      <c r="A11" s="175"/>
      <c r="B11" s="178"/>
      <c r="C11" s="68"/>
      <c r="D11" s="68"/>
      <c r="E11" s="68"/>
      <c r="F11" s="68"/>
      <c r="G11" s="68"/>
      <c r="H11" s="68"/>
      <c r="I11" s="181"/>
      <c r="J11" s="184"/>
      <c r="L11" s="67"/>
    </row>
    <row r="12" spans="1:15" ht="13.5" thickBot="1" x14ac:dyDescent="0.25">
      <c r="A12" s="176"/>
      <c r="B12" s="179"/>
      <c r="C12" s="69">
        <v>1</v>
      </c>
      <c r="D12" s="69"/>
      <c r="E12" s="69"/>
      <c r="F12" s="69"/>
      <c r="G12" s="69"/>
      <c r="H12" s="69"/>
      <c r="I12" s="182"/>
      <c r="J12" s="185"/>
      <c r="L12" s="67">
        <f>SUM(C12:H12)</f>
        <v>1</v>
      </c>
    </row>
    <row r="13" spans="1:15" ht="13.5" customHeight="1" x14ac:dyDescent="0.25">
      <c r="A13" s="174" t="s">
        <v>32</v>
      </c>
      <c r="B13" s="186" t="s">
        <v>48</v>
      </c>
      <c r="C13" s="66">
        <f>C15*$I13</f>
        <v>10365.062000000002</v>
      </c>
      <c r="D13" s="66">
        <f>D15*$I13</f>
        <v>10365.062000000002</v>
      </c>
      <c r="E13" s="66">
        <f>E15*$I13</f>
        <v>10365.062000000002</v>
      </c>
      <c r="F13" s="66">
        <f>F15*$I13</f>
        <v>10365.062000000002</v>
      </c>
      <c r="G13" s="66">
        <f>G15*$I13</f>
        <v>10365.062000000002</v>
      </c>
      <c r="H13" s="66"/>
      <c r="I13" s="180">
        <f>'PLANILHA ORÇAMENTÁRIA'!I18</f>
        <v>51825.310000000005</v>
      </c>
      <c r="J13" s="183">
        <f>I13/$I$25</f>
        <v>0.10476414764894589</v>
      </c>
      <c r="L13" s="67"/>
      <c r="N13" s="70"/>
      <c r="O13" s="71"/>
    </row>
    <row r="14" spans="1:15" ht="13.5" customHeight="1" x14ac:dyDescent="0.25">
      <c r="A14" s="175"/>
      <c r="B14" s="178"/>
      <c r="C14" s="68"/>
      <c r="D14" s="68"/>
      <c r="E14" s="68"/>
      <c r="F14" s="68"/>
      <c r="G14" s="68"/>
      <c r="H14" s="68"/>
      <c r="I14" s="181"/>
      <c r="J14" s="184"/>
      <c r="L14" s="67"/>
      <c r="N14" s="70"/>
      <c r="O14" s="71"/>
    </row>
    <row r="15" spans="1:15" ht="15.75" thickBot="1" x14ac:dyDescent="0.3">
      <c r="A15" s="176"/>
      <c r="B15" s="179"/>
      <c r="C15" s="69">
        <v>0.2</v>
      </c>
      <c r="D15" s="69">
        <v>0.2</v>
      </c>
      <c r="E15" s="69">
        <v>0.2</v>
      </c>
      <c r="F15" s="69">
        <v>0.2</v>
      </c>
      <c r="G15" s="69">
        <v>0.2</v>
      </c>
      <c r="H15" s="69"/>
      <c r="I15" s="182"/>
      <c r="J15" s="185"/>
      <c r="L15" s="67">
        <f>SUM(C15:H15)</f>
        <v>1</v>
      </c>
      <c r="N15" s="70"/>
      <c r="O15" s="71"/>
    </row>
    <row r="16" spans="1:15" ht="15" x14ac:dyDescent="0.25">
      <c r="A16" s="174" t="s">
        <v>41</v>
      </c>
      <c r="B16" s="186" t="s">
        <v>42</v>
      </c>
      <c r="C16" s="66">
        <f>C18*$I16</f>
        <v>65957.228000000003</v>
      </c>
      <c r="D16" s="66">
        <f>D18*$I16</f>
        <v>65957.228000000003</v>
      </c>
      <c r="E16" s="66">
        <f>E18*$I16</f>
        <v>65957.228000000003</v>
      </c>
      <c r="F16" s="66">
        <f>F18*$I16</f>
        <v>65957.228000000003</v>
      </c>
      <c r="G16" s="66">
        <f>G18*$I16</f>
        <v>65957.228000000003</v>
      </c>
      <c r="H16" s="66"/>
      <c r="I16" s="180">
        <f>'PLANILHA ORÇAMENTÁRIA'!I23</f>
        <v>329786.14</v>
      </c>
      <c r="J16" s="183">
        <f>I16/$I$25</f>
        <v>0.66665812251843615</v>
      </c>
      <c r="L16" s="67"/>
      <c r="N16" s="70"/>
      <c r="O16" s="71"/>
    </row>
    <row r="17" spans="1:15" ht="15" x14ac:dyDescent="0.25">
      <c r="A17" s="175"/>
      <c r="B17" s="178"/>
      <c r="C17" s="68"/>
      <c r="D17" s="68"/>
      <c r="E17" s="68"/>
      <c r="F17" s="68"/>
      <c r="G17" s="68"/>
      <c r="H17" s="68"/>
      <c r="I17" s="181"/>
      <c r="J17" s="184"/>
      <c r="L17" s="67"/>
      <c r="N17" s="70"/>
      <c r="O17" s="71"/>
    </row>
    <row r="18" spans="1:15" ht="15.75" thickBot="1" x14ac:dyDescent="0.3">
      <c r="A18" s="176"/>
      <c r="B18" s="179"/>
      <c r="C18" s="69">
        <v>0.2</v>
      </c>
      <c r="D18" s="69">
        <v>0.2</v>
      </c>
      <c r="E18" s="69">
        <v>0.2</v>
      </c>
      <c r="F18" s="69">
        <v>0.2</v>
      </c>
      <c r="G18" s="69">
        <v>0.2</v>
      </c>
      <c r="H18" s="69"/>
      <c r="I18" s="182"/>
      <c r="J18" s="185"/>
      <c r="L18" s="67">
        <f>SUM(C18:H18)</f>
        <v>1</v>
      </c>
      <c r="N18" s="70"/>
      <c r="O18" s="71"/>
    </row>
    <row r="19" spans="1:15" ht="15" x14ac:dyDescent="0.25">
      <c r="A19" s="174" t="s">
        <v>80</v>
      </c>
      <c r="B19" s="186" t="s">
        <v>82</v>
      </c>
      <c r="C19" s="66">
        <f>C21*$I19</f>
        <v>15554.652</v>
      </c>
      <c r="D19" s="66">
        <f>D21*$I19</f>
        <v>15554.652</v>
      </c>
      <c r="E19" s="66">
        <f>E21*$I19</f>
        <v>15554.652</v>
      </c>
      <c r="F19" s="66">
        <f>F21*$I19</f>
        <v>15554.652</v>
      </c>
      <c r="G19" s="66">
        <f>G21*$I19</f>
        <v>15554.652</v>
      </c>
      <c r="H19" s="66"/>
      <c r="I19" s="180">
        <f>'PLANILHA ORÇAMENTÁRIA'!I30</f>
        <v>77773.259999999995</v>
      </c>
      <c r="J19" s="183">
        <f>I19/$I$25</f>
        <v>0.15721756982794421</v>
      </c>
      <c r="L19" s="67"/>
      <c r="N19" s="70"/>
      <c r="O19" s="71"/>
    </row>
    <row r="20" spans="1:15" ht="15" x14ac:dyDescent="0.25">
      <c r="A20" s="175"/>
      <c r="B20" s="178"/>
      <c r="C20" s="68"/>
      <c r="D20" s="68"/>
      <c r="E20" s="68"/>
      <c r="F20" s="68"/>
      <c r="G20" s="68"/>
      <c r="H20" s="68"/>
      <c r="I20" s="181"/>
      <c r="J20" s="184"/>
      <c r="L20" s="67"/>
      <c r="N20" s="70"/>
      <c r="O20" s="71"/>
    </row>
    <row r="21" spans="1:15" ht="15.75" thickBot="1" x14ac:dyDescent="0.3">
      <c r="A21" s="176"/>
      <c r="B21" s="179"/>
      <c r="C21" s="69">
        <v>0.2</v>
      </c>
      <c r="D21" s="69">
        <v>0.2</v>
      </c>
      <c r="E21" s="69">
        <v>0.2</v>
      </c>
      <c r="F21" s="69">
        <v>0.2</v>
      </c>
      <c r="G21" s="69">
        <v>0.2</v>
      </c>
      <c r="H21" s="69"/>
      <c r="I21" s="182"/>
      <c r="J21" s="185"/>
      <c r="L21" s="67">
        <f>SUM(C21:H21)</f>
        <v>1</v>
      </c>
      <c r="N21" s="70"/>
      <c r="O21" s="71"/>
    </row>
    <row r="22" spans="1:15" ht="15" x14ac:dyDescent="0.25">
      <c r="A22" s="174" t="s">
        <v>83</v>
      </c>
      <c r="B22" s="186" t="s">
        <v>77</v>
      </c>
      <c r="C22" s="66">
        <f>C24*$I22</f>
        <v>3805.2800000000007</v>
      </c>
      <c r="D22" s="66">
        <f>D24*$I22</f>
        <v>3805.2800000000007</v>
      </c>
      <c r="E22" s="66">
        <f>E24*$I22</f>
        <v>3805.2800000000007</v>
      </c>
      <c r="F22" s="66">
        <f>F24*$I22</f>
        <v>3805.2800000000007</v>
      </c>
      <c r="G22" s="66">
        <f>G24*$I22</f>
        <v>3805.2800000000007</v>
      </c>
      <c r="H22" s="66"/>
      <c r="I22" s="180">
        <f>'PLANILHA ORÇAMENTÁRIA'!I33</f>
        <v>19026.400000000001</v>
      </c>
      <c r="J22" s="183">
        <f>I22/$I$25</f>
        <v>3.8461604548586471E-2</v>
      </c>
      <c r="L22" s="67"/>
      <c r="N22" s="70"/>
      <c r="O22" s="71"/>
    </row>
    <row r="23" spans="1:15" ht="15" x14ac:dyDescent="0.25">
      <c r="A23" s="175"/>
      <c r="B23" s="178"/>
      <c r="C23" s="68"/>
      <c r="D23" s="68"/>
      <c r="E23" s="68"/>
      <c r="F23" s="68"/>
      <c r="G23" s="68"/>
      <c r="H23" s="68"/>
      <c r="I23" s="181"/>
      <c r="J23" s="184"/>
      <c r="L23" s="67"/>
      <c r="N23" s="70"/>
      <c r="O23" s="71"/>
    </row>
    <row r="24" spans="1:15" ht="15.75" thickBot="1" x14ac:dyDescent="0.3">
      <c r="A24" s="176"/>
      <c r="B24" s="179"/>
      <c r="C24" s="69">
        <v>0.2</v>
      </c>
      <c r="D24" s="69">
        <v>0.2</v>
      </c>
      <c r="E24" s="69">
        <v>0.2</v>
      </c>
      <c r="F24" s="69">
        <v>0.2</v>
      </c>
      <c r="G24" s="69">
        <v>0.2</v>
      </c>
      <c r="H24" s="69"/>
      <c r="I24" s="182"/>
      <c r="J24" s="185"/>
      <c r="L24" s="67">
        <f>SUM(C24:H24)</f>
        <v>1</v>
      </c>
      <c r="N24" s="70"/>
      <c r="O24" s="71"/>
    </row>
    <row r="25" spans="1:15" ht="13.5" thickBot="1" x14ac:dyDescent="0.25">
      <c r="A25" s="187" t="s">
        <v>33</v>
      </c>
      <c r="B25" s="188"/>
      <c r="C25" s="188"/>
      <c r="D25" s="188"/>
      <c r="E25" s="188"/>
      <c r="F25" s="188"/>
      <c r="G25" s="188"/>
      <c r="H25" s="189"/>
      <c r="I25" s="170">
        <f>SUM(I10:I24)</f>
        <v>494685.55000000005</v>
      </c>
      <c r="J25" s="171"/>
    </row>
    <row r="26" spans="1:15" x14ac:dyDescent="0.2">
      <c r="A26" s="190" t="s">
        <v>34</v>
      </c>
      <c r="B26" s="191"/>
      <c r="C26" s="72">
        <f>(C10+C13+C16+C19+C22)/($I$25)</f>
        <v>0.22631884436486976</v>
      </c>
      <c r="D26" s="72">
        <f>(D10+D13+D16+D19+D22)/($I$25)</f>
        <v>0.19342028890878254</v>
      </c>
      <c r="E26" s="72">
        <f>(E10+E13+E16+E19+E22)/($I$25)</f>
        <v>0.19342028890878254</v>
      </c>
      <c r="F26" s="72">
        <f>(F10+F13+F16+F19+F22)/($I$25)</f>
        <v>0.19342028890878254</v>
      </c>
      <c r="G26" s="72">
        <f>(G10+G13+G16+G19+G22)/($I$25)</f>
        <v>0.19342028890878254</v>
      </c>
      <c r="H26" s="72"/>
      <c r="I26" s="73"/>
      <c r="J26" s="74"/>
      <c r="L26" s="67">
        <f>SUM(C26:H26)</f>
        <v>1</v>
      </c>
    </row>
    <row r="27" spans="1:15" x14ac:dyDescent="0.2">
      <c r="A27" s="192" t="s">
        <v>35</v>
      </c>
      <c r="B27" s="193"/>
      <c r="C27" s="75">
        <f>C26</f>
        <v>0.22631884436486976</v>
      </c>
      <c r="D27" s="75">
        <f>C27+D26</f>
        <v>0.41973913327365231</v>
      </c>
      <c r="E27" s="75">
        <f t="shared" ref="E27:G27" si="0">D27+E26</f>
        <v>0.6131594221824348</v>
      </c>
      <c r="F27" s="75">
        <f t="shared" si="0"/>
        <v>0.8065797110912174</v>
      </c>
      <c r="G27" s="76">
        <f t="shared" si="0"/>
        <v>1</v>
      </c>
      <c r="H27" s="75"/>
      <c r="I27" s="77"/>
      <c r="J27" s="78"/>
      <c r="L27" s="67"/>
    </row>
    <row r="28" spans="1:15" x14ac:dyDescent="0.2">
      <c r="A28" s="192" t="s">
        <v>36</v>
      </c>
      <c r="B28" s="193"/>
      <c r="C28" s="79">
        <f t="shared" ref="C28:G28" si="1">C10+C13+C16+C19+C22</f>
        <v>111956.66200000001</v>
      </c>
      <c r="D28" s="79">
        <f t="shared" si="1"/>
        <v>95682.222000000009</v>
      </c>
      <c r="E28" s="79">
        <f t="shared" si="1"/>
        <v>95682.222000000009</v>
      </c>
      <c r="F28" s="79">
        <f t="shared" si="1"/>
        <v>95682.222000000009</v>
      </c>
      <c r="G28" s="79">
        <f t="shared" si="1"/>
        <v>95682.222000000009</v>
      </c>
      <c r="H28" s="79"/>
      <c r="I28" s="77"/>
      <c r="J28" s="78"/>
    </row>
    <row r="29" spans="1:15" ht="13.5" thickBot="1" x14ac:dyDescent="0.25">
      <c r="A29" s="194" t="s">
        <v>37</v>
      </c>
      <c r="B29" s="195"/>
      <c r="C29" s="80">
        <f>C28</f>
        <v>111956.66200000001</v>
      </c>
      <c r="D29" s="80">
        <f>C29+D28</f>
        <v>207638.88400000002</v>
      </c>
      <c r="E29" s="80">
        <f t="shared" ref="E29:G29" si="2">D29+E28</f>
        <v>303321.10600000003</v>
      </c>
      <c r="F29" s="80">
        <f t="shared" si="2"/>
        <v>399003.32800000004</v>
      </c>
      <c r="G29" s="81">
        <f t="shared" si="2"/>
        <v>494685.55000000005</v>
      </c>
      <c r="H29" s="80"/>
      <c r="I29" s="82"/>
      <c r="J29" s="83"/>
    </row>
    <row r="30" spans="1:15" ht="13.5" thickBot="1" x14ac:dyDescent="0.25">
      <c r="A30" s="84"/>
      <c r="B30" s="85"/>
      <c r="C30" s="86"/>
      <c r="D30" s="86"/>
      <c r="E30" s="92"/>
      <c r="F30" s="92"/>
      <c r="G30" s="92"/>
      <c r="H30" s="86"/>
      <c r="I30" s="87"/>
      <c r="J30" s="88"/>
    </row>
    <row r="31" spans="1:15" ht="15" customHeight="1" x14ac:dyDescent="0.2">
      <c r="A31" s="104"/>
      <c r="B31" s="100"/>
      <c r="C31" s="100"/>
      <c r="D31" s="100"/>
      <c r="E31" s="100"/>
      <c r="F31" s="100"/>
      <c r="G31" s="100"/>
      <c r="H31" s="100"/>
      <c r="I31" s="100"/>
      <c r="J31" s="101"/>
    </row>
    <row r="32" spans="1:15" ht="15" customHeight="1" x14ac:dyDescent="0.2">
      <c r="A32" s="196"/>
      <c r="B32" s="197"/>
      <c r="C32" s="197"/>
      <c r="D32" s="197"/>
      <c r="E32" s="197" t="s">
        <v>91</v>
      </c>
      <c r="F32" s="197"/>
      <c r="G32" s="197"/>
      <c r="H32" s="197"/>
      <c r="I32" s="197"/>
      <c r="J32" s="198"/>
    </row>
    <row r="33" spans="1:10" ht="15" customHeight="1" x14ac:dyDescent="0.2">
      <c r="A33" s="196"/>
      <c r="B33" s="197"/>
      <c r="C33" s="197"/>
      <c r="D33" s="197"/>
      <c r="E33" s="197" t="s">
        <v>84</v>
      </c>
      <c r="F33" s="197"/>
      <c r="G33" s="197"/>
      <c r="H33" s="197"/>
      <c r="I33" s="197"/>
      <c r="J33" s="198"/>
    </row>
    <row r="34" spans="1:10" ht="15" customHeight="1" x14ac:dyDescent="0.2">
      <c r="A34" s="196"/>
      <c r="B34" s="197"/>
      <c r="C34" s="197"/>
      <c r="D34" s="197"/>
      <c r="E34" s="199" t="s">
        <v>92</v>
      </c>
      <c r="F34" s="199"/>
      <c r="G34" s="199"/>
      <c r="H34" s="199"/>
      <c r="I34" s="199"/>
      <c r="J34" s="200"/>
    </row>
    <row r="35" spans="1:10" ht="15.75" customHeight="1" thickBot="1" x14ac:dyDescent="0.25">
      <c r="A35" s="105"/>
      <c r="B35" s="106"/>
      <c r="C35" s="106"/>
      <c r="D35" s="106"/>
      <c r="E35" s="102"/>
      <c r="F35" s="102"/>
      <c r="G35" s="102"/>
      <c r="H35" s="102"/>
      <c r="I35" s="102"/>
      <c r="J35" s="103"/>
    </row>
  </sheetData>
  <mergeCells count="41">
    <mergeCell ref="A32:D32"/>
    <mergeCell ref="A33:D33"/>
    <mergeCell ref="A34:D34"/>
    <mergeCell ref="E32:J32"/>
    <mergeCell ref="E33:J33"/>
    <mergeCell ref="E34:J34"/>
    <mergeCell ref="J19:J21"/>
    <mergeCell ref="A22:A24"/>
    <mergeCell ref="B22:B24"/>
    <mergeCell ref="I22:I24"/>
    <mergeCell ref="J22:J24"/>
    <mergeCell ref="A26:B26"/>
    <mergeCell ref="A27:B27"/>
    <mergeCell ref="A28:B28"/>
    <mergeCell ref="A29:B29"/>
    <mergeCell ref="A19:A21"/>
    <mergeCell ref="B19:B21"/>
    <mergeCell ref="I25:J25"/>
    <mergeCell ref="A9:B9"/>
    <mergeCell ref="A10:A12"/>
    <mergeCell ref="B10:B12"/>
    <mergeCell ref="I10:I12"/>
    <mergeCell ref="J10:J12"/>
    <mergeCell ref="A13:A15"/>
    <mergeCell ref="B13:B15"/>
    <mergeCell ref="I13:I15"/>
    <mergeCell ref="J13:J15"/>
    <mergeCell ref="A16:A18"/>
    <mergeCell ref="B16:B18"/>
    <mergeCell ref="I16:I18"/>
    <mergeCell ref="J16:J18"/>
    <mergeCell ref="A25:H25"/>
    <mergeCell ref="I19:I21"/>
    <mergeCell ref="A1:J1"/>
    <mergeCell ref="A2:B5"/>
    <mergeCell ref="C2:J3"/>
    <mergeCell ref="C4:J5"/>
    <mergeCell ref="A7:A8"/>
    <mergeCell ref="B7:B8"/>
    <mergeCell ref="C7:H7"/>
    <mergeCell ref="I7:J7"/>
  </mergeCells>
  <phoneticPr fontId="12" type="noConversion"/>
  <pageMargins left="0.511811024" right="0.511811024" top="0.78740157499999996" bottom="0.78740157499999996" header="0.31496062000000002" footer="0.31496062000000002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ORÇAMENTÁRIA</vt:lpstr>
      <vt:lpstr>CRONOGRAMA</vt:lpstr>
      <vt:lpstr>CRONOGRAMA!Area_de_impressao</vt:lpstr>
      <vt:lpstr>'PLANILHA ORÇAMENTÁRIA'!Area_de_impressao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Engenharia</cp:lastModifiedBy>
  <cp:lastPrinted>2020-03-04T17:31:15Z</cp:lastPrinted>
  <dcterms:created xsi:type="dcterms:W3CDTF">2015-09-16T17:33:27Z</dcterms:created>
  <dcterms:modified xsi:type="dcterms:W3CDTF">2020-05-11T15:14:11Z</dcterms:modified>
</cp:coreProperties>
</file>