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D:\Documentos\lucas.ramos\Desktop\manoel pio\"/>
    </mc:Choice>
  </mc:AlternateContent>
  <bookViews>
    <workbookView xWindow="0" yWindow="180" windowWidth="20490" windowHeight="7575" firstSheet="2" activeTab="2"/>
  </bookViews>
  <sheets>
    <sheet name="Planilha Orçamentária" sheetId="17" state="hidden" r:id="rId1"/>
    <sheet name="Memória de Cálculo" sheetId="20" state="hidden" r:id="rId2"/>
    <sheet name="Crono." sheetId="18" r:id="rId3"/>
    <sheet name="Desembolso" sheetId="19" state="hidden" r:id="rId4"/>
  </sheets>
  <externalReferences>
    <externalReference r:id="rId5"/>
  </externalReferences>
  <definedNames>
    <definedName name="_xlnm.Print_Area" localSheetId="2">'Crono.'!$A$1:$K$34</definedName>
    <definedName name="_xlnm.Print_Area" localSheetId="3">Desembolso!$A$1:$K$20</definedName>
    <definedName name="_xlnm.Print_Area" localSheetId="1">'Memória de Cálculo'!$A$1:$I$360</definedName>
    <definedName name="_xlnm.Print_Area" localSheetId="0">'Planilha Orçamentária'!$A$1:$H$108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0" l="1"/>
  <c r="H121" i="20"/>
  <c r="H161" i="20"/>
  <c r="H284" i="20"/>
  <c r="H324" i="20"/>
  <c r="G24" i="20"/>
  <c r="G20" i="20"/>
  <c r="G19" i="20"/>
  <c r="G15" i="20"/>
  <c r="G14" i="20"/>
  <c r="G16" i="20" s="1"/>
  <c r="G21" i="20" l="1"/>
  <c r="G350" i="20"/>
  <c r="G317" i="20"/>
  <c r="G313" i="20"/>
  <c r="G192" i="20"/>
  <c r="G188" i="20"/>
  <c r="G149" i="20"/>
  <c r="G44" i="20"/>
  <c r="G35" i="20"/>
  <c r="G34" i="20"/>
  <c r="G30" i="20"/>
  <c r="G40" i="20"/>
  <c r="H276" i="20"/>
  <c r="H275" i="20"/>
  <c r="H273" i="20"/>
  <c r="H272" i="20"/>
  <c r="H271" i="20"/>
  <c r="H270" i="20"/>
  <c r="D269" i="20"/>
  <c r="H269" i="20" s="1"/>
  <c r="H267" i="20"/>
  <c r="H266" i="20"/>
  <c r="H265" i="20"/>
  <c r="H264" i="20"/>
  <c r="H258" i="20"/>
  <c r="H277" i="20"/>
  <c r="H261" i="20"/>
  <c r="H260" i="20"/>
  <c r="H259" i="20"/>
  <c r="D249" i="20"/>
  <c r="H249" i="20" s="1"/>
  <c r="H251" i="20"/>
  <c r="H250" i="20"/>
  <c r="H247" i="20"/>
  <c r="H246" i="20"/>
  <c r="H243" i="20"/>
  <c r="H242" i="20"/>
  <c r="H224" i="20"/>
  <c r="G36" i="20" l="1"/>
  <c r="H231" i="20"/>
  <c r="H235" i="20"/>
  <c r="D226" i="20"/>
  <c r="H234" i="20"/>
  <c r="H233" i="20"/>
  <c r="H232" i="20"/>
  <c r="H229" i="20"/>
  <c r="H228" i="20"/>
  <c r="D227" i="20"/>
  <c r="D222" i="20"/>
  <c r="D236" i="20"/>
  <c r="H236" i="20" s="1"/>
  <c r="H223" i="20"/>
  <c r="D208" i="20"/>
  <c r="H208" i="20" s="1"/>
  <c r="D203" i="20"/>
  <c r="H203" i="20" s="1"/>
  <c r="H216" i="20"/>
  <c r="H215" i="20"/>
  <c r="H214" i="20"/>
  <c r="H213" i="20"/>
  <c r="H211" i="20"/>
  <c r="H210" i="20"/>
  <c r="H209" i="20"/>
  <c r="H206" i="20"/>
  <c r="H205" i="20"/>
  <c r="H204" i="20"/>
  <c r="H201" i="20"/>
  <c r="D198" i="20"/>
  <c r="H198" i="20" s="1"/>
  <c r="H88" i="20"/>
  <c r="H87" i="20"/>
  <c r="H86" i="20"/>
  <c r="H85" i="20"/>
  <c r="H84" i="20"/>
  <c r="D83" i="20"/>
  <c r="H83" i="20" s="1"/>
  <c r="H200" i="20"/>
  <c r="H199" i="20"/>
  <c r="G187" i="20"/>
  <c r="G189" i="20" s="1"/>
  <c r="G183" i="20"/>
  <c r="G182" i="20"/>
  <c r="G178" i="20"/>
  <c r="G173" i="20"/>
  <c r="G170" i="20"/>
  <c r="G166" i="20"/>
  <c r="G165" i="20"/>
  <c r="G153" i="20"/>
  <c r="G144" i="20"/>
  <c r="G143" i="20"/>
  <c r="G139" i="20"/>
  <c r="G134" i="20"/>
  <c r="G130" i="20"/>
  <c r="G126" i="20"/>
  <c r="G125" i="20"/>
  <c r="G336" i="20"/>
  <c r="G297" i="20"/>
  <c r="G293" i="20"/>
  <c r="G289" i="20"/>
  <c r="G288" i="20"/>
  <c r="F354" i="20"/>
  <c r="G354" i="20" s="1"/>
  <c r="G349" i="20"/>
  <c r="G351" i="20" s="1"/>
  <c r="G345" i="20"/>
  <c r="G344" i="20"/>
  <c r="E341" i="20"/>
  <c r="G341" i="20" s="1"/>
  <c r="G333" i="20"/>
  <c r="G329" i="20"/>
  <c r="G328" i="20"/>
  <c r="E308" i="20"/>
  <c r="G308" i="20" s="1"/>
  <c r="G307" i="20"/>
  <c r="E303" i="20"/>
  <c r="G303" i="20" s="1"/>
  <c r="H226" i="20" l="1"/>
  <c r="D263" i="20"/>
  <c r="H263" i="20" s="1"/>
  <c r="H227" i="20"/>
  <c r="D245" i="20"/>
  <c r="H245" i="20" s="1"/>
  <c r="H222" i="20"/>
  <c r="D241" i="20"/>
  <c r="H241" i="20" s="1"/>
  <c r="H89" i="20"/>
  <c r="H217" i="20"/>
  <c r="D221" i="20"/>
  <c r="G184" i="20"/>
  <c r="G167" i="20"/>
  <c r="G290" i="20"/>
  <c r="G145" i="20"/>
  <c r="G127" i="20"/>
  <c r="G309" i="20"/>
  <c r="G346" i="20"/>
  <c r="G330" i="20"/>
  <c r="H252" i="20" l="1"/>
  <c r="H221" i="20"/>
  <c r="H237" i="20" s="1"/>
  <c r="D257" i="20"/>
  <c r="G148" i="20"/>
  <c r="G150" i="20" s="1"/>
  <c r="H257" i="20" l="1"/>
  <c r="H278" i="20" s="1"/>
  <c r="H115" i="20"/>
  <c r="H114" i="20"/>
  <c r="H113" i="20"/>
  <c r="H112" i="20"/>
  <c r="H111" i="20"/>
  <c r="F110" i="20"/>
  <c r="H110" i="20" s="1"/>
  <c r="D109" i="20"/>
  <c r="H109" i="20" s="1"/>
  <c r="H105" i="20"/>
  <c r="D104" i="20"/>
  <c r="H104" i="20" s="1"/>
  <c r="D103" i="20"/>
  <c r="H103" i="20" s="1"/>
  <c r="D102" i="20"/>
  <c r="H102" i="20" s="1"/>
  <c r="D98" i="20"/>
  <c r="H98" i="20" s="1"/>
  <c r="D97" i="20"/>
  <c r="H97" i="20" s="1"/>
  <c r="D96" i="20"/>
  <c r="H96" i="20" s="1"/>
  <c r="D95" i="20"/>
  <c r="H95" i="20" s="1"/>
  <c r="D94" i="20"/>
  <c r="H94" i="20" s="1"/>
  <c r="H93" i="20"/>
  <c r="D92" i="20"/>
  <c r="H92" i="20" s="1"/>
  <c r="H77" i="20"/>
  <c r="H78" i="20" s="1"/>
  <c r="H73" i="20"/>
  <c r="H74" i="20" s="1"/>
  <c r="H69" i="20"/>
  <c r="H70" i="20" s="1"/>
  <c r="H65" i="20"/>
  <c r="H64" i="20"/>
  <c r="H60" i="20"/>
  <c r="H59" i="20"/>
  <c r="H49" i="20"/>
  <c r="H50" i="20"/>
  <c r="H55" i="20"/>
  <c r="H54" i="20"/>
  <c r="G39" i="20"/>
  <c r="G41" i="20" s="1"/>
  <c r="I72" i="20"/>
  <c r="K6" i="20"/>
  <c r="K5" i="20"/>
  <c r="H106" i="20" l="1"/>
  <c r="H116" i="20"/>
  <c r="H99" i="20"/>
  <c r="H51" i="20"/>
  <c r="H56" i="20"/>
  <c r="H61" i="20"/>
  <c r="H66" i="20"/>
  <c r="A17" i="19"/>
  <c r="O15" i="19"/>
  <c r="S9" i="19"/>
  <c r="A31" i="18"/>
  <c r="K6" i="17"/>
  <c r="C5" i="19" s="1"/>
  <c r="K5" i="17"/>
  <c r="C4" i="19" s="1"/>
  <c r="B25" i="18"/>
  <c r="B22" i="18"/>
  <c r="B19" i="18"/>
  <c r="B16" i="18"/>
  <c r="B13" i="18"/>
  <c r="O21" i="18"/>
  <c r="O15" i="18"/>
  <c r="S9" i="18"/>
  <c r="C4" i="18" l="1"/>
  <c r="C5" i="18"/>
  <c r="E29" i="18"/>
  <c r="E30" i="18" s="1"/>
  <c r="F100" i="17" l="1"/>
  <c r="G100" i="17" s="1"/>
  <c r="G99" i="17"/>
  <c r="G98" i="17"/>
  <c r="G97" i="17"/>
  <c r="G94" i="17"/>
  <c r="G93" i="17"/>
  <c r="G92" i="17"/>
  <c r="F89" i="17"/>
  <c r="G89" i="17" s="1"/>
  <c r="G90" i="17" s="1"/>
  <c r="F83" i="17"/>
  <c r="G83" i="17" s="1"/>
  <c r="G82" i="17"/>
  <c r="G81" i="17"/>
  <c r="G80" i="17"/>
  <c r="G77" i="17"/>
  <c r="G76" i="17"/>
  <c r="G75" i="17"/>
  <c r="F72" i="17"/>
  <c r="G72" i="17" s="1"/>
  <c r="G73" i="17" s="1"/>
  <c r="G84" i="17" l="1"/>
  <c r="G101" i="17"/>
  <c r="G95" i="17"/>
  <c r="G78" i="17"/>
  <c r="G66" i="17"/>
  <c r="G65" i="17"/>
  <c r="G64" i="17"/>
  <c r="G63" i="17"/>
  <c r="F60" i="17"/>
  <c r="G60" i="17" s="1"/>
  <c r="G59" i="17"/>
  <c r="G58" i="17"/>
  <c r="G57" i="17"/>
  <c r="G54" i="17"/>
  <c r="G53" i="17"/>
  <c r="G52" i="17"/>
  <c r="F49" i="17"/>
  <c r="G49" i="17" s="1"/>
  <c r="G50" i="17" s="1"/>
  <c r="F43" i="17"/>
  <c r="G43" i="17" s="1"/>
  <c r="G42" i="17"/>
  <c r="G41" i="17"/>
  <c r="G40" i="17"/>
  <c r="G37" i="17"/>
  <c r="G36" i="17"/>
  <c r="G35" i="17"/>
  <c r="F32" i="17"/>
  <c r="G32" i="17" s="1"/>
  <c r="G33" i="17" s="1"/>
  <c r="G86" i="17" l="1"/>
  <c r="I22" i="18" s="1"/>
  <c r="G103" i="17"/>
  <c r="G67" i="17"/>
  <c r="I25" i="18"/>
  <c r="G22" i="18"/>
  <c r="F22" i="18"/>
  <c r="J22" i="18"/>
  <c r="G61" i="17"/>
  <c r="G55" i="17"/>
  <c r="G44" i="17"/>
  <c r="G38" i="17"/>
  <c r="G46" i="17" s="1"/>
  <c r="H22" i="18" l="1"/>
  <c r="K22" i="18"/>
  <c r="K25" i="18"/>
  <c r="F25" i="18"/>
  <c r="G25" i="18"/>
  <c r="H25" i="18"/>
  <c r="J25" i="18"/>
  <c r="G69" i="17"/>
  <c r="G16" i="18"/>
  <c r="G23" i="17"/>
  <c r="I19" i="18" l="1"/>
  <c r="K19" i="18"/>
  <c r="I16" i="18"/>
  <c r="J16" i="18"/>
  <c r="H16" i="18"/>
  <c r="F16" i="18"/>
  <c r="K16" i="18"/>
  <c r="F20" i="17"/>
  <c r="F9" i="17"/>
  <c r="H19" i="18" l="1"/>
  <c r="F19" i="18"/>
  <c r="G19" i="18"/>
  <c r="J19" i="18"/>
  <c r="G24" i="17"/>
  <c r="G25" i="17"/>
  <c r="G26" i="17"/>
  <c r="G27" i="17" l="1"/>
  <c r="G13" i="17"/>
  <c r="G14" i="17"/>
  <c r="G20" i="17" l="1"/>
  <c r="G12" i="17"/>
  <c r="G15" i="17" s="1"/>
  <c r="G19" i="17"/>
  <c r="G17" i="17" l="1"/>
  <c r="G18" i="17" l="1"/>
  <c r="G21" i="17" s="1"/>
  <c r="G9" i="17"/>
  <c r="G10" i="17" s="1"/>
  <c r="G29" i="17" l="1"/>
  <c r="J107" i="17" s="1"/>
  <c r="C29" i="18" l="1"/>
  <c r="E6" i="19"/>
  <c r="D13" i="18"/>
  <c r="H13" i="18"/>
  <c r="H29" i="18" s="1"/>
  <c r="K13" i="18"/>
  <c r="K29" i="18" s="1"/>
  <c r="G13" i="18"/>
  <c r="G29" i="18" s="1"/>
  <c r="J13" i="18"/>
  <c r="J29" i="18" s="1"/>
  <c r="I13" i="18"/>
  <c r="I29" i="18" s="1"/>
  <c r="F13" i="18"/>
  <c r="F29" i="18" s="1"/>
  <c r="F30" i="18" s="1"/>
  <c r="G30" i="18" l="1"/>
  <c r="E13" i="19" s="1"/>
  <c r="D25" i="18"/>
  <c r="D22" i="18"/>
  <c r="D16" i="18"/>
  <c r="D19" i="18"/>
  <c r="C13" i="19"/>
  <c r="H30" i="18" l="1"/>
  <c r="I30" i="18" s="1"/>
  <c r="J30" i="18" s="1"/>
  <c r="K30" i="18" s="1"/>
  <c r="D29" i="18"/>
  <c r="E15" i="19"/>
  <c r="K15" i="19"/>
  <c r="I15" i="19"/>
  <c r="D13" i="19"/>
  <c r="H15" i="19"/>
  <c r="F15" i="19"/>
  <c r="G13" i="19" l="1"/>
  <c r="G15" i="19" s="1"/>
  <c r="J13" i="19" l="1"/>
  <c r="J15" i="19" s="1"/>
  <c r="G314" i="20"/>
</calcChain>
</file>

<file path=xl/sharedStrings.xml><?xml version="1.0" encoding="utf-8"?>
<sst xmlns="http://schemas.openxmlformats.org/spreadsheetml/2006/main" count="1050" uniqueCount="162">
  <si>
    <t>ITEM</t>
  </si>
  <si>
    <t>QUANT.</t>
  </si>
  <si>
    <t>SERVIÇOS PRELIMINARES</t>
  </si>
  <si>
    <t>1.1</t>
  </si>
  <si>
    <t>m²</t>
  </si>
  <si>
    <t>3.1</t>
  </si>
  <si>
    <t>3.2</t>
  </si>
  <si>
    <t>3.3</t>
  </si>
  <si>
    <t>PREFEITURA MUNICIPAL DE ATÍLIO VIVÁCQUA/ES</t>
  </si>
  <si>
    <t>ESPECIFICAÇÃO</t>
  </si>
  <si>
    <t>UND.</t>
  </si>
  <si>
    <t>PREÇO UNITÁRIO</t>
  </si>
  <si>
    <t>PREÇO TOTAL</t>
  </si>
  <si>
    <t>TOTAL OBRA:</t>
  </si>
  <si>
    <t>Prefeito Municipal</t>
  </si>
  <si>
    <t>BDI</t>
  </si>
  <si>
    <t>2.1</t>
  </si>
  <si>
    <t>2.2</t>
  </si>
  <si>
    <t>2.3</t>
  </si>
  <si>
    <t>__________________________________________________</t>
  </si>
  <si>
    <t>______________________________________________</t>
  </si>
  <si>
    <t>CREA: RJ-2015107731/D</t>
  </si>
  <si>
    <t>TOTAL ÍTEM 2</t>
  </si>
  <si>
    <t>TOTAL ÍTEM 3</t>
  </si>
  <si>
    <t>TOTAL ÍTEM 1</t>
  </si>
  <si>
    <t>CÓDIGO REFERÊNCIA</t>
  </si>
  <si>
    <t>MURO DE ARRIMO</t>
  </si>
  <si>
    <t>Escavação manual em material de 1a. categoria, até 1.50 m de profundidade</t>
  </si>
  <si>
    <t>IOPES 030101</t>
  </si>
  <si>
    <t>Fôrma de tábua de madeira de 2.5 x 30.0 cm para fundações, levando-se em conta a utilização 5 vezes (incluido o material, corte, montagem, escoramento e desforma)</t>
  </si>
  <si>
    <t>IOPES 040206</t>
  </si>
  <si>
    <t>Fornecimento, preparo e aplicação de concreto ciclópico Fck=15MPa com 30% de pedra de mão</t>
  </si>
  <si>
    <t>IOPES 40202</t>
  </si>
  <si>
    <t>Tubo de PVC rígido soldável branco, para esgoto, diâmetro 100mm (4"), inclusive conexões</t>
  </si>
  <si>
    <t>IOPES 141909</t>
  </si>
  <si>
    <t>Colchão drenante de brita 3 inclusive fornecimento, espalhamento, compactação e transporte da brita</t>
  </si>
  <si>
    <t>DER 40718</t>
  </si>
  <si>
    <t>LOCAL:  RUA JOSÉ HENRIQUE LADEIRA, ALTO NITERÓI,  ATÍLIO VIVÁCQUA-ES</t>
  </si>
  <si>
    <t>MOVIMENTAÇÃO DE TERRAS</t>
  </si>
  <si>
    <t>3.4</t>
  </si>
  <si>
    <t>GUARDA CORPO</t>
  </si>
  <si>
    <t>ESCADA</t>
  </si>
  <si>
    <t>Fornecimento, preparo e aplicação de concreto Fck=15 MPa (brita 1 e 2) - (5% de perdas já incluído no custo)</t>
  </si>
  <si>
    <t>m³</t>
  </si>
  <si>
    <t>Fornecimento, dobragem e colocação em fôrma, de armadura CA-50 A média, diâmetro de 6.3 a 10.0 mm</t>
  </si>
  <si>
    <t>Fornecimento, dobragem e colocação em fôrma, de armadura CA-60 B fina, diâmetro de 4.0 a 7.0mm</t>
  </si>
  <si>
    <t>IOPES 40320</t>
  </si>
  <si>
    <t>IOPES 40328</t>
  </si>
  <si>
    <t>IOPES 40333</t>
  </si>
  <si>
    <t>4.1</t>
  </si>
  <si>
    <t>4.2</t>
  </si>
  <si>
    <t>4.3</t>
  </si>
  <si>
    <t>4.4</t>
  </si>
  <si>
    <t>kg</t>
  </si>
  <si>
    <t>Alvenaria de blocos cerâmicos 10 furos 10x20x20cm, assentados c/argamassa de cimento, cal hidratada CH1 e areia traço 1:0,5:8, esp. das juntas 12mm e esp. das paredes s/revestimento, 10cm (bloco comprado na fábrica, posto obra)</t>
  </si>
  <si>
    <t>IOPES 50606</t>
  </si>
  <si>
    <t>Chapisco de argamassa de cimento e areia média ou grossa lavada, no traço 1:3, espessura 5 mm</t>
  </si>
  <si>
    <t>Emboço de argamassa de cimento, cal hidratada CH1 e areia média ou grossa lavada no traço 1:0.5:6, espessura 20 mm</t>
  </si>
  <si>
    <t>IOPES 120101</t>
  </si>
  <si>
    <t>IOPES 120301</t>
  </si>
  <si>
    <t>4.5</t>
  </si>
  <si>
    <t>4.6</t>
  </si>
  <si>
    <t>4.7</t>
  </si>
  <si>
    <t>Apiloamento do fundo de vala com maço de 30 a 60kg</t>
  </si>
  <si>
    <t>Lastro de concreto não estrutural, espessura de 6 cm</t>
  </si>
  <si>
    <t>IOPES 30119</t>
  </si>
  <si>
    <t>IOPES 130112</t>
  </si>
  <si>
    <t>m</t>
  </si>
  <si>
    <t>5.1</t>
  </si>
  <si>
    <t>5.2</t>
  </si>
  <si>
    <t>5.3</t>
  </si>
  <si>
    <t>5.4</t>
  </si>
  <si>
    <t>Fornecimento, preparo e aplicação de concreto Fck=20 MPa (brita 1 e 2) - (5% de perdas já incluído no custo)</t>
  </si>
  <si>
    <t>IOPES 40322</t>
  </si>
  <si>
    <t>TOTAL ÍTEM 5</t>
  </si>
  <si>
    <t>PREÇO UNITÁRIO SEM BDI</t>
  </si>
  <si>
    <t>REFERENCIAIS DE PREÇOS:                                                                            DER-ES 01/2018 ; IOPES 09/2018 ; SINAPI 09/2018</t>
  </si>
  <si>
    <t>Josemar Machado Fernandes</t>
  </si>
  <si>
    <t>IOPES 40337</t>
  </si>
  <si>
    <t>Fôrma em chapa de madeira compensada plastificada 12mm para estrutura em geral, 5 reaproveitamentos, reforçada com sarrafos de madeira 2.5x10cm (incl material, corte, montagem, escoras em eucalipto e desforma)</t>
  </si>
  <si>
    <t>Placa de obra em chapa de aço galvanizado</t>
  </si>
  <si>
    <t>SINAPI 74209/001</t>
  </si>
  <si>
    <t>LOCAL: ALTO NITERÓI,  ATÍLIO VIVÁCQUA-ES</t>
  </si>
  <si>
    <t>PLANILHA ORÇAMENTÁRIA  (ESTIMATIVA)</t>
  </si>
  <si>
    <t>OBRA/SERVIÇO: MURO DE ARRIMO 01, 02, 03, 04 e 05 no Bairro Alto Niteroi.</t>
  </si>
  <si>
    <t>MURO 01</t>
  </si>
  <si>
    <t>TOTAL MURO 01:</t>
  </si>
  <si>
    <t>MURO 02</t>
  </si>
  <si>
    <t>TOTAL MURO 02:</t>
  </si>
  <si>
    <t>MURO 03</t>
  </si>
  <si>
    <t>MURO 04</t>
  </si>
  <si>
    <t>MURO 05</t>
  </si>
  <si>
    <t>TOTAL MURO 03:</t>
  </si>
  <si>
    <t>TOTAL MURO 04:</t>
  </si>
  <si>
    <t>Município de Atílio Vivácqua</t>
  </si>
  <si>
    <t>Cronograma</t>
  </si>
  <si>
    <t>Total da Obra:</t>
  </si>
  <si>
    <t>BDI:</t>
  </si>
  <si>
    <t>DESCRIÇÃO</t>
  </si>
  <si>
    <t>Valores</t>
  </si>
  <si>
    <t>R$</t>
  </si>
  <si>
    <t>%</t>
  </si>
  <si>
    <t>CUSTO TOTAL COM BDI 30,90% (R$)</t>
  </si>
  <si>
    <t>TOTAL ACUMULADO (R$)</t>
  </si>
  <si>
    <t>Licitação</t>
  </si>
  <si>
    <t>Cronograma de Desembolso</t>
  </si>
  <si>
    <t>MUROS</t>
  </si>
  <si>
    <t>L</t>
  </si>
  <si>
    <t>H</t>
  </si>
  <si>
    <t>B</t>
  </si>
  <si>
    <t>subtotal</t>
  </si>
  <si>
    <t>LADOS</t>
  </si>
  <si>
    <t>COLUNAS</t>
  </si>
  <si>
    <t>VIGA</t>
  </si>
  <si>
    <t>QT</t>
  </si>
  <si>
    <t>TOTAL</t>
  </si>
  <si>
    <t>Kg</t>
  </si>
  <si>
    <t>DEGRAUS</t>
  </si>
  <si>
    <t>LAJE</t>
  </si>
  <si>
    <t>VIGAS</t>
  </si>
  <si>
    <t>SAPATAS</t>
  </si>
  <si>
    <t>10,00 und x 3,00 linhas x 1,80m</t>
  </si>
  <si>
    <t>E</t>
  </si>
  <si>
    <t xml:space="preserve">40 tubos x 3 linhas  x  2,00m </t>
  </si>
  <si>
    <t>VOL.</t>
  </si>
  <si>
    <t>AREA</t>
  </si>
  <si>
    <t>muro 04</t>
  </si>
  <si>
    <t>m3</t>
  </si>
  <si>
    <t>muro 02</t>
  </si>
  <si>
    <t>muro 03</t>
  </si>
  <si>
    <t>muro 03 :13,00 M X 3,00 Linhas x 2,40m</t>
  </si>
  <si>
    <t>1° Lance</t>
  </si>
  <si>
    <t>2° Lance</t>
  </si>
  <si>
    <t>3° Lance</t>
  </si>
  <si>
    <t>4° Lance</t>
  </si>
  <si>
    <t>sub total</t>
  </si>
  <si>
    <t>1° LANCE</t>
  </si>
  <si>
    <t>PESO</t>
  </si>
  <si>
    <t>2° LANCE</t>
  </si>
  <si>
    <t>3° LANCE</t>
  </si>
  <si>
    <t>19,00 drenos x 3,00 linhas x 1,80m</t>
  </si>
  <si>
    <t>19,00 esperas para guarda corpo  x 0,50m</t>
  </si>
  <si>
    <t>10,00 und  x 0,50m</t>
  </si>
  <si>
    <t>13,00 drenos x 0,50m</t>
  </si>
  <si>
    <t xml:space="preserve"> 30 tubos x 3 linhas x 1,80 m </t>
  </si>
  <si>
    <t>30 drenos x 0,50m</t>
  </si>
  <si>
    <t>40,00 drenos x 0,50m</t>
  </si>
  <si>
    <t>UND</t>
  </si>
  <si>
    <t>sub  total</t>
  </si>
  <si>
    <t xml:space="preserve">Evaldo Martins da Costa </t>
  </si>
  <si>
    <t>CREA: RJ-184297/D</t>
  </si>
  <si>
    <t>PLACA</t>
  </si>
  <si>
    <t xml:space="preserve">Evaldo Martisn da Costa </t>
  </si>
  <si>
    <t>CREARJ 184297/D</t>
  </si>
  <si>
    <t>Evaldo  Martins da Costa</t>
  </si>
  <si>
    <t>Evaldo Martins da Costa</t>
  </si>
  <si>
    <t xml:space="preserve">OBRA/SERVIÇO: MURO DE CONTENÇÃO DA RUA MANOEL PIO </t>
  </si>
  <si>
    <t>LOCAL: RUA MANOEL PIO - ALTO NITERÓI,  ATÍLIO VIVÁCQUA-ES</t>
  </si>
  <si>
    <t>JOSEMAR MACHADO FERNANDES</t>
  </si>
  <si>
    <t>TOTAL MURO:</t>
  </si>
  <si>
    <t>LICITAÇÃO</t>
  </si>
  <si>
    <t>Prazo de Execução (130 dias, 60 dias para processo licitatório e 70 dias para execução)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</si>
</sst>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R$&quot;\ #,##0.00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&quot;R$&quot;#,##0.00"/>
    <numFmt numFmtId="168" formatCode="[$-F800]dddd\,\ mmmm\ dd\,\ yyyy"/>
    <numFmt numFmtId="169" formatCode="0.0%"/>
    <numFmt numFmtId="170" formatCode="_(&quot;R$ &quot;* #,##0.00_);_(&quot;R$ &quot;* \(#,##0.00\);_(&quot;R$ &quot;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5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31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double">
        <color indexed="8"/>
      </left>
      <right style="double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double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3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0" fontId="0" fillId="2" borderId="0" xfId="0" applyNumberFormat="1" applyFill="1"/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4" fontId="2" fillId="0" borderId="1" xfId="1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0" fontId="0" fillId="2" borderId="0" xfId="0" applyNumberForma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2" fillId="2" borderId="16" xfId="1" applyFont="1" applyFill="1" applyBorder="1" applyAlignment="1">
      <alignment vertical="top"/>
    </xf>
    <xf numFmtId="0" fontId="1" fillId="0" borderId="0" xfId="1" applyAlignment="1" applyProtection="1">
      <alignment vertical="center"/>
      <protection locked="0"/>
    </xf>
    <xf numFmtId="0" fontId="8" fillId="0" borderId="13" xfId="1" applyFont="1" applyBorder="1" applyAlignment="1" applyProtection="1">
      <alignment vertical="center"/>
      <protection locked="0"/>
    </xf>
    <xf numFmtId="0" fontId="7" fillId="0" borderId="13" xfId="1" applyFont="1" applyBorder="1" applyAlignment="1" applyProtection="1">
      <alignment vertical="center" wrapText="1"/>
      <protection locked="0"/>
    </xf>
    <xf numFmtId="0" fontId="8" fillId="0" borderId="14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6" fillId="2" borderId="7" xfId="1" applyFont="1" applyFill="1" applyBorder="1" applyAlignment="1" applyProtection="1">
      <alignment vertical="center"/>
      <protection locked="0"/>
    </xf>
    <xf numFmtId="0" fontId="6" fillId="2" borderId="0" xfId="1" applyFont="1" applyFill="1" applyAlignment="1" applyProtection="1">
      <alignment vertical="center" wrapText="1"/>
      <protection locked="0"/>
    </xf>
    <xf numFmtId="0" fontId="6" fillId="2" borderId="0" xfId="1" applyFont="1" applyFill="1" applyAlignment="1" applyProtection="1">
      <alignment vertical="center"/>
      <protection locked="0"/>
    </xf>
    <xf numFmtId="0" fontId="9" fillId="0" borderId="0" xfId="1" applyFont="1" applyAlignment="1" applyProtection="1">
      <alignment vertical="center" wrapText="1"/>
      <protection locked="0"/>
    </xf>
    <xf numFmtId="0" fontId="1" fillId="0" borderId="8" xfId="1" applyBorder="1" applyAlignment="1" applyProtection="1">
      <alignment vertical="center"/>
      <protection locked="0"/>
    </xf>
    <xf numFmtId="0" fontId="1" fillId="2" borderId="7" xfId="1" applyFill="1" applyBorder="1" applyAlignment="1" applyProtection="1">
      <alignment horizontal="center"/>
      <protection locked="0"/>
    </xf>
    <xf numFmtId="0" fontId="1" fillId="2" borderId="0" xfId="1" applyFill="1" applyAlignment="1" applyProtection="1">
      <alignment horizontal="center" wrapText="1"/>
      <protection locked="0"/>
    </xf>
    <xf numFmtId="0" fontId="1" fillId="2" borderId="0" xfId="1" applyFill="1" applyAlignment="1" applyProtection="1">
      <alignment horizontal="center"/>
      <protection locked="0"/>
    </xf>
    <xf numFmtId="0" fontId="1" fillId="2" borderId="0" xfId="1" applyFill="1" applyAlignment="1" applyProtection="1">
      <alignment horizontal="left" vertical="center"/>
      <protection locked="0"/>
    </xf>
    <xf numFmtId="0" fontId="1" fillId="2" borderId="0" xfId="1" applyFill="1" applyAlignment="1" applyProtection="1">
      <alignment horizontal="center" vertical="center"/>
      <protection locked="0"/>
    </xf>
    <xf numFmtId="166" fontId="1" fillId="2" borderId="0" xfId="6" applyFill="1" applyAlignment="1" applyProtection="1">
      <alignment horizontal="center" vertical="center"/>
      <protection locked="0"/>
    </xf>
    <xf numFmtId="4" fontId="1" fillId="2" borderId="0" xfId="6" applyNumberFormat="1" applyFill="1" applyAlignment="1" applyProtection="1">
      <alignment horizontal="right" vertical="center"/>
      <protection locked="0"/>
    </xf>
    <xf numFmtId="4" fontId="6" fillId="6" borderId="0" xfId="1" applyNumberFormat="1" applyFont="1" applyFill="1" applyAlignment="1" applyProtection="1">
      <alignment horizontal="right" vertical="center" wrapText="1"/>
      <protection locked="0"/>
    </xf>
    <xf numFmtId="169" fontId="6" fillId="6" borderId="0" xfId="4" applyNumberFormat="1" applyFont="1" applyFill="1" applyAlignment="1" applyProtection="1">
      <alignment horizontal="center" vertical="center" wrapText="1"/>
      <protection locked="0"/>
    </xf>
    <xf numFmtId="0" fontId="6" fillId="0" borderId="12" xfId="1" applyFont="1" applyBorder="1" applyAlignment="1">
      <alignment horizontal="center"/>
    </xf>
    <xf numFmtId="0" fontId="6" fillId="0" borderId="13" xfId="1" applyFont="1" applyBorder="1" applyAlignment="1">
      <alignment horizontal="center" wrapText="1"/>
    </xf>
    <xf numFmtId="0" fontId="6" fillId="0" borderId="13" xfId="1" applyFont="1" applyBorder="1" applyAlignment="1">
      <alignment horizontal="center"/>
    </xf>
    <xf numFmtId="0" fontId="6" fillId="0" borderId="13" xfId="1" applyFont="1" applyBorder="1" applyAlignment="1">
      <alignment vertical="center"/>
    </xf>
    <xf numFmtId="166" fontId="6" fillId="0" borderId="13" xfId="6" applyFont="1" applyBorder="1" applyAlignment="1">
      <alignment vertical="center"/>
    </xf>
    <xf numFmtId="167" fontId="6" fillId="0" borderId="13" xfId="6" applyNumberFormat="1" applyFont="1" applyBorder="1" applyAlignment="1">
      <alignment horizontal="right" vertical="center"/>
    </xf>
    <xf numFmtId="167" fontId="6" fillId="0" borderId="13" xfId="1" applyNumberFormat="1" applyFont="1" applyBorder="1" applyAlignment="1">
      <alignment horizontal="right" vertical="center"/>
    </xf>
    <xf numFmtId="4" fontId="6" fillId="0" borderId="13" xfId="1" applyNumberFormat="1" applyFont="1" applyBorder="1" applyAlignment="1">
      <alignment vertical="center"/>
    </xf>
    <xf numFmtId="0" fontId="1" fillId="0" borderId="14" xfId="1" applyBorder="1" applyAlignment="1">
      <alignment vertical="center"/>
    </xf>
    <xf numFmtId="0" fontId="1" fillId="0" borderId="0" xfId="1" applyAlignment="1">
      <alignment vertical="center"/>
    </xf>
    <xf numFmtId="0" fontId="10" fillId="0" borderId="6" xfId="1" applyFont="1" applyBorder="1" applyAlignment="1">
      <alignment horizontal="left" vertical="center" wrapText="1"/>
    </xf>
    <xf numFmtId="0" fontId="11" fillId="2" borderId="39" xfId="1" applyFont="1" applyFill="1" applyBorder="1" applyAlignment="1">
      <alignment horizontal="center"/>
    </xf>
    <xf numFmtId="0" fontId="11" fillId="2" borderId="40" xfId="1" applyFont="1" applyFill="1" applyBorder="1" applyAlignment="1">
      <alignment horizontal="center"/>
    </xf>
    <xf numFmtId="0" fontId="11" fillId="2" borderId="41" xfId="1" applyFont="1" applyFill="1" applyBorder="1" applyAlignment="1">
      <alignment horizontal="center"/>
    </xf>
    <xf numFmtId="0" fontId="11" fillId="2" borderId="42" xfId="1" applyFont="1" applyFill="1" applyBorder="1" applyAlignment="1">
      <alignment horizontal="center"/>
    </xf>
    <xf numFmtId="0" fontId="11" fillId="2" borderId="43" xfId="1" applyFont="1" applyFill="1" applyBorder="1" applyAlignment="1">
      <alignment horizontal="center"/>
    </xf>
    <xf numFmtId="0" fontId="11" fillId="7" borderId="46" xfId="1" applyFont="1" applyFill="1" applyBorder="1" applyAlignment="1">
      <alignment horizontal="center"/>
    </xf>
    <xf numFmtId="0" fontId="11" fillId="7" borderId="47" xfId="1" applyFont="1" applyFill="1" applyBorder="1" applyAlignment="1">
      <alignment horizontal="center"/>
    </xf>
    <xf numFmtId="14" fontId="1" fillId="0" borderId="0" xfId="1" applyNumberFormat="1" applyAlignment="1">
      <alignment vertical="center"/>
    </xf>
    <xf numFmtId="4" fontId="10" fillId="0" borderId="2" xfId="7" applyNumberFormat="1" applyFont="1" applyBorder="1" applyAlignment="1">
      <alignment horizontal="center" vertical="center"/>
    </xf>
    <xf numFmtId="4" fontId="10" fillId="0" borderId="11" xfId="7" applyNumberFormat="1" applyFont="1" applyBorder="1" applyAlignment="1">
      <alignment horizontal="center" vertical="center"/>
    </xf>
    <xf numFmtId="0" fontId="11" fillId="7" borderId="7" xfId="1" applyFont="1" applyFill="1" applyBorder="1" applyAlignment="1">
      <alignment horizontal="center" vertical="center"/>
    </xf>
    <xf numFmtId="0" fontId="11" fillId="7" borderId="9" xfId="1" applyFont="1" applyFill="1" applyBorder="1" applyAlignment="1">
      <alignment horizontal="center" vertical="center"/>
    </xf>
    <xf numFmtId="10" fontId="10" fillId="0" borderId="12" xfId="8" applyNumberFormat="1" applyFont="1" applyBorder="1" applyAlignment="1">
      <alignment horizontal="center" vertical="center"/>
    </xf>
    <xf numFmtId="10" fontId="10" fillId="0" borderId="15" xfId="8" applyNumberFormat="1" applyFont="1" applyBorder="1" applyAlignment="1">
      <alignment horizontal="center" vertical="center"/>
    </xf>
    <xf numFmtId="49" fontId="11" fillId="7" borderId="4" xfId="1" applyNumberFormat="1" applyFont="1" applyFill="1" applyBorder="1" applyAlignment="1">
      <alignment vertical="center"/>
    </xf>
    <xf numFmtId="49" fontId="11" fillId="7" borderId="5" xfId="1" applyNumberFormat="1" applyFont="1" applyFill="1" applyBorder="1" applyAlignment="1">
      <alignment vertical="center"/>
    </xf>
    <xf numFmtId="49" fontId="11" fillId="7" borderId="6" xfId="1" applyNumberFormat="1" applyFont="1" applyFill="1" applyBorder="1" applyAlignment="1">
      <alignment vertical="center"/>
    </xf>
    <xf numFmtId="167" fontId="11" fillId="0" borderId="54" xfId="7" applyNumberFormat="1" applyFont="1" applyBorder="1" applyAlignment="1">
      <alignment horizontal="center" vertical="center"/>
    </xf>
    <xf numFmtId="169" fontId="11" fillId="0" borderId="55" xfId="8" applyNumberFormat="1" applyFont="1" applyBorder="1" applyAlignment="1">
      <alignment horizontal="right" vertical="center"/>
    </xf>
    <xf numFmtId="4" fontId="10" fillId="0" borderId="54" xfId="7" applyNumberFormat="1" applyFont="1" applyBorder="1" applyAlignment="1">
      <alignment horizontal="center" vertical="center"/>
    </xf>
    <xf numFmtId="0" fontId="11" fillId="0" borderId="9" xfId="1" applyFont="1" applyBorder="1" applyAlignment="1">
      <alignment horizontal="left"/>
    </xf>
    <xf numFmtId="0" fontId="11" fillId="0" borderId="0" xfId="1" applyFont="1" applyAlignment="1">
      <alignment horizontal="left"/>
    </xf>
    <xf numFmtId="4" fontId="10" fillId="0" borderId="58" xfId="7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166" fontId="1" fillId="0" borderId="0" xfId="6" applyAlignment="1">
      <alignment horizontal="right" vertical="center"/>
    </xf>
    <xf numFmtId="4" fontId="1" fillId="0" borderId="0" xfId="6" applyNumberFormat="1" applyAlignment="1">
      <alignment horizontal="right" vertical="center"/>
    </xf>
    <xf numFmtId="2" fontId="1" fillId="0" borderId="0" xfId="6" applyNumberFormat="1" applyAlignment="1">
      <alignment horizontal="right" vertical="center"/>
    </xf>
    <xf numFmtId="10" fontId="10" fillId="0" borderId="13" xfId="8" applyNumberFormat="1" applyFont="1" applyBorder="1" applyAlignment="1">
      <alignment horizontal="center" vertical="center"/>
    </xf>
    <xf numFmtId="4" fontId="10" fillId="0" borderId="10" xfId="7" applyNumberFormat="1" applyFont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49" fontId="11" fillId="7" borderId="13" xfId="1" applyNumberFormat="1" applyFont="1" applyFill="1" applyBorder="1" applyAlignment="1">
      <alignment vertical="center"/>
    </xf>
    <xf numFmtId="4" fontId="10" fillId="2" borderId="11" xfId="7" applyNumberFormat="1" applyFont="1" applyFill="1" applyBorder="1" applyAlignment="1">
      <alignment horizontal="center" vertical="center"/>
    </xf>
    <xf numFmtId="0" fontId="11" fillId="3" borderId="9" xfId="1" applyFont="1" applyFill="1" applyBorder="1" applyAlignment="1">
      <alignment horizontal="center" vertical="center"/>
    </xf>
    <xf numFmtId="10" fontId="10" fillId="2" borderId="9" xfId="8" applyNumberFormat="1" applyFont="1" applyFill="1" applyBorder="1" applyAlignment="1">
      <alignment horizontal="center" vertical="center"/>
    </xf>
    <xf numFmtId="4" fontId="10" fillId="2" borderId="9" xfId="7" applyNumberFormat="1" applyFont="1" applyFill="1" applyBorder="1" applyAlignment="1">
      <alignment horizontal="center" vertical="center"/>
    </xf>
    <xf numFmtId="10" fontId="10" fillId="2" borderId="15" xfId="8" applyNumberFormat="1" applyFont="1" applyFill="1" applyBorder="1" applyAlignment="1">
      <alignment horizontal="center" vertical="center"/>
    </xf>
    <xf numFmtId="0" fontId="11" fillId="2" borderId="62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vertical="top" wrapText="1"/>
    </xf>
    <xf numFmtId="10" fontId="6" fillId="2" borderId="6" xfId="1" applyNumberFormat="1" applyFont="1" applyFill="1" applyBorder="1" applyAlignment="1">
      <alignment horizontal="left"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6" fillId="3" borderId="25" xfId="1" applyFont="1" applyFill="1" applyBorder="1" applyAlignment="1">
      <alignment horizontal="center" vertical="center" wrapText="1"/>
    </xf>
    <xf numFmtId="4" fontId="6" fillId="3" borderId="25" xfId="1" applyNumberFormat="1" applyFont="1" applyFill="1" applyBorder="1" applyAlignment="1">
      <alignment horizontal="center" vertical="center" wrapText="1"/>
    </xf>
    <xf numFmtId="4" fontId="6" fillId="0" borderId="25" xfId="1" applyNumberFormat="1" applyFont="1" applyBorder="1" applyAlignment="1">
      <alignment horizontal="center" vertical="center" wrapText="1"/>
    </xf>
    <xf numFmtId="4" fontId="6" fillId="3" borderId="26" xfId="1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vertical="center"/>
    </xf>
    <xf numFmtId="0" fontId="13" fillId="4" borderId="5" xfId="0" applyFont="1" applyFill="1" applyBorder="1" applyAlignment="1">
      <alignment vertical="center"/>
    </xf>
    <xf numFmtId="4" fontId="13" fillId="4" borderId="6" xfId="0" applyNumberFormat="1" applyFont="1" applyFill="1" applyBorder="1" applyAlignment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vertical="center"/>
    </xf>
    <xf numFmtId="0" fontId="13" fillId="2" borderId="25" xfId="0" applyFont="1" applyFill="1" applyBorder="1" applyAlignment="1">
      <alignment horizontal="center" vertical="center"/>
    </xf>
    <xf numFmtId="2" fontId="13" fillId="2" borderId="25" xfId="0" applyNumberFormat="1" applyFont="1" applyFill="1" applyBorder="1" applyAlignment="1">
      <alignment horizontal="right" vertical="center"/>
    </xf>
    <xf numFmtId="164" fontId="13" fillId="0" borderId="25" xfId="0" applyNumberFormat="1" applyFont="1" applyBorder="1" applyAlignment="1">
      <alignment vertical="center"/>
    </xf>
    <xf numFmtId="164" fontId="13" fillId="2" borderId="26" xfId="0" applyNumberFormat="1" applyFont="1" applyFill="1" applyBorder="1" applyAlignment="1">
      <alignment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vertical="center"/>
    </xf>
    <xf numFmtId="0" fontId="13" fillId="2" borderId="29" xfId="0" applyFont="1" applyFill="1" applyBorder="1" applyAlignment="1">
      <alignment horizontal="center" vertical="center"/>
    </xf>
    <xf numFmtId="2" fontId="13" fillId="2" borderId="29" xfId="0" applyNumberFormat="1" applyFont="1" applyFill="1" applyBorder="1" applyAlignment="1">
      <alignment horizontal="right" vertical="center"/>
    </xf>
    <xf numFmtId="164" fontId="12" fillId="0" borderId="29" xfId="0" applyNumberFormat="1" applyFont="1" applyBorder="1" applyAlignment="1">
      <alignment horizontal="center" vertical="center"/>
    </xf>
    <xf numFmtId="164" fontId="13" fillId="2" borderId="30" xfId="0" applyNumberFormat="1" applyFont="1" applyFill="1" applyBorder="1" applyAlignment="1">
      <alignment vertical="center"/>
    </xf>
    <xf numFmtId="2" fontId="13" fillId="4" borderId="5" xfId="0" applyNumberFormat="1" applyFont="1" applyFill="1" applyBorder="1" applyAlignment="1">
      <alignment horizontal="right" vertical="center"/>
    </xf>
    <xf numFmtId="164" fontId="13" fillId="4" borderId="5" xfId="0" applyNumberFormat="1" applyFont="1" applyFill="1" applyBorder="1" applyAlignment="1">
      <alignment vertical="center"/>
    </xf>
    <xf numFmtId="164" fontId="13" fillId="4" borderId="6" xfId="0" applyNumberFormat="1" applyFont="1" applyFill="1" applyBorder="1" applyAlignment="1">
      <alignment vertical="center"/>
    </xf>
    <xf numFmtId="0" fontId="13" fillId="2" borderId="1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164" fontId="13" fillId="0" borderId="17" xfId="0" applyNumberFormat="1" applyFont="1" applyBorder="1" applyAlignment="1">
      <alignment vertical="center"/>
    </xf>
    <xf numFmtId="164" fontId="13" fillId="2" borderId="21" xfId="0" applyNumberFormat="1" applyFont="1" applyFill="1" applyBorder="1" applyAlignment="1">
      <alignment vertical="center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horizontal="center" vertical="center"/>
    </xf>
    <xf numFmtId="2" fontId="13" fillId="0" borderId="17" xfId="0" applyNumberFormat="1" applyFont="1" applyBorder="1" applyAlignment="1">
      <alignment horizontal="right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/>
    </xf>
    <xf numFmtId="0" fontId="13" fillId="2" borderId="13" xfId="0" applyFont="1" applyFill="1" applyBorder="1" applyAlignment="1">
      <alignment horizontal="center" vertical="center"/>
    </xf>
    <xf numFmtId="2" fontId="13" fillId="2" borderId="13" xfId="0" applyNumberFormat="1" applyFont="1" applyFill="1" applyBorder="1" applyAlignment="1">
      <alignment horizontal="right" vertical="center"/>
    </xf>
    <xf numFmtId="164" fontId="12" fillId="0" borderId="13" xfId="0" applyNumberFormat="1" applyFont="1" applyBorder="1" applyAlignment="1">
      <alignment horizontal="center" vertical="center"/>
    </xf>
    <xf numFmtId="164" fontId="13" fillId="2" borderId="27" xfId="0" applyNumberFormat="1" applyFont="1" applyFill="1" applyBorder="1" applyAlignment="1">
      <alignment vertical="center"/>
    </xf>
    <xf numFmtId="0" fontId="13" fillId="4" borderId="5" xfId="0" applyFont="1" applyFill="1" applyBorder="1" applyAlignment="1">
      <alignment horizontal="center" vertical="center"/>
    </xf>
    <xf numFmtId="164" fontId="13" fillId="2" borderId="20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2" fontId="13" fillId="0" borderId="1" xfId="0" applyNumberFormat="1" applyFont="1" applyBorder="1" applyAlignment="1">
      <alignment horizontal="right" vertical="center"/>
    </xf>
    <xf numFmtId="164" fontId="13" fillId="0" borderId="21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/>
    </xf>
    <xf numFmtId="0" fontId="13" fillId="2" borderId="5" xfId="0" applyFont="1" applyFill="1" applyBorder="1" applyAlignment="1">
      <alignment horizontal="center" vertical="center"/>
    </xf>
    <xf numFmtId="2" fontId="13" fillId="2" borderId="5" xfId="0" applyNumberFormat="1" applyFont="1" applyFill="1" applyBorder="1" applyAlignment="1">
      <alignment horizontal="right" vertical="center"/>
    </xf>
    <xf numFmtId="164" fontId="12" fillId="0" borderId="5" xfId="0" applyNumberFormat="1" applyFont="1" applyBorder="1" applyAlignment="1">
      <alignment horizontal="center" vertical="center"/>
    </xf>
    <xf numFmtId="164" fontId="13" fillId="2" borderId="23" xfId="0" applyNumberFormat="1" applyFont="1" applyFill="1" applyBorder="1" applyAlignment="1">
      <alignment vertical="center"/>
    </xf>
    <xf numFmtId="164" fontId="12" fillId="4" borderId="5" xfId="0" applyNumberFormat="1" applyFont="1" applyFill="1" applyBorder="1" applyAlignment="1">
      <alignment horizontal="center" vertical="center"/>
    </xf>
    <xf numFmtId="164" fontId="12" fillId="2" borderId="16" xfId="0" applyNumberFormat="1" applyFont="1" applyFill="1" applyBorder="1"/>
    <xf numFmtId="0" fontId="13" fillId="0" borderId="7" xfId="0" applyFont="1" applyBorder="1"/>
    <xf numFmtId="0" fontId="13" fillId="0" borderId="18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12" xfId="0" applyFont="1" applyBorder="1"/>
    <xf numFmtId="0" fontId="13" fillId="0" borderId="13" xfId="0" applyFont="1" applyBorder="1"/>
    <xf numFmtId="0" fontId="13" fillId="0" borderId="13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/>
    <xf numFmtId="0" fontId="12" fillId="2" borderId="1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164" fontId="13" fillId="0" borderId="1" xfId="0" applyNumberFormat="1" applyFont="1" applyBorder="1" applyAlignment="1">
      <alignment vertical="center"/>
    </xf>
    <xf numFmtId="164" fontId="13" fillId="2" borderId="1" xfId="0" applyNumberFormat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vertical="center" wrapText="1"/>
    </xf>
    <xf numFmtId="0" fontId="12" fillId="2" borderId="1" xfId="1" applyFont="1" applyFill="1" applyBorder="1" applyAlignment="1">
      <alignment vertical="top" wrapText="1"/>
    </xf>
    <xf numFmtId="10" fontId="12" fillId="2" borderId="1" xfId="1" applyNumberFormat="1" applyFont="1" applyFill="1" applyBorder="1" applyAlignment="1">
      <alignment horizontal="left" vertical="center" wrapText="1"/>
    </xf>
    <xf numFmtId="0" fontId="12" fillId="3" borderId="1" xfId="1" applyFont="1" applyFill="1" applyBorder="1" applyAlignment="1">
      <alignment horizontal="center" vertical="center" wrapText="1"/>
    </xf>
    <xf numFmtId="4" fontId="12" fillId="3" borderId="1" xfId="1" applyNumberFormat="1" applyFont="1" applyFill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/>
    </xf>
    <xf numFmtId="4" fontId="13" fillId="4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right" vertical="center"/>
    </xf>
    <xf numFmtId="2" fontId="13" fillId="2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2" fontId="13" fillId="4" borderId="1" xfId="0" applyNumberFormat="1" applyFont="1" applyFill="1" applyBorder="1" applyAlignment="1">
      <alignment horizontal="right" vertical="center"/>
    </xf>
    <xf numFmtId="164" fontId="13" fillId="4" borderId="1" xfId="0" applyNumberFormat="1" applyFont="1" applyFill="1" applyBorder="1" applyAlignment="1">
      <alignment vertical="center"/>
    </xf>
    <xf numFmtId="164" fontId="12" fillId="0" borderId="1" xfId="0" applyNumberFormat="1" applyFont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left" vertical="center"/>
    </xf>
    <xf numFmtId="164" fontId="12" fillId="4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/>
    </xf>
    <xf numFmtId="164" fontId="12" fillId="2" borderId="1" xfId="0" applyNumberFormat="1" applyFont="1" applyFill="1" applyBorder="1"/>
    <xf numFmtId="164" fontId="13" fillId="0" borderId="1" xfId="0" applyNumberFormat="1" applyFont="1" applyBorder="1" applyAlignment="1">
      <alignment horizontal="left" vertical="center"/>
    </xf>
    <xf numFmtId="164" fontId="12" fillId="2" borderId="1" xfId="0" applyNumberFormat="1" applyFont="1" applyFill="1" applyBorder="1" applyAlignment="1">
      <alignment vertical="center"/>
    </xf>
    <xf numFmtId="16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14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wrapText="1"/>
    </xf>
    <xf numFmtId="4" fontId="14" fillId="0" borderId="1" xfId="0" applyNumberFormat="1" applyFont="1" applyBorder="1"/>
    <xf numFmtId="0" fontId="14" fillId="2" borderId="64" xfId="0" applyFont="1" applyFill="1" applyBorder="1"/>
    <xf numFmtId="0" fontId="12" fillId="2" borderId="65" xfId="1" applyFont="1" applyFill="1" applyBorder="1" applyAlignment="1">
      <alignment horizontal="center" vertical="center" wrapText="1"/>
    </xf>
    <xf numFmtId="0" fontId="12" fillId="4" borderId="65" xfId="0" applyFont="1" applyFill="1" applyBorder="1" applyAlignment="1">
      <alignment horizontal="center" vertical="center"/>
    </xf>
    <xf numFmtId="0" fontId="13" fillId="2" borderId="65" xfId="0" applyFont="1" applyFill="1" applyBorder="1" applyAlignment="1">
      <alignment horizontal="center" vertical="center"/>
    </xf>
    <xf numFmtId="0" fontId="12" fillId="2" borderId="65" xfId="0" applyFont="1" applyFill="1" applyBorder="1" applyAlignment="1">
      <alignment horizontal="center" vertical="center"/>
    </xf>
    <xf numFmtId="0" fontId="13" fillId="0" borderId="65" xfId="0" applyFont="1" applyBorder="1"/>
    <xf numFmtId="0" fontId="14" fillId="0" borderId="65" xfId="0" applyFont="1" applyBorder="1"/>
    <xf numFmtId="0" fontId="12" fillId="2" borderId="4" xfId="0" applyFont="1" applyFill="1" applyBorder="1" applyAlignment="1">
      <alignment horizontal="right"/>
    </xf>
    <xf numFmtId="0" fontId="12" fillId="2" borderId="5" xfId="0" applyFont="1" applyFill="1" applyBorder="1" applyAlignment="1">
      <alignment horizontal="right"/>
    </xf>
    <xf numFmtId="168" fontId="12" fillId="2" borderId="4" xfId="0" applyNumberFormat="1" applyFont="1" applyFill="1" applyBorder="1" applyAlignment="1">
      <alignment horizontal="left"/>
    </xf>
    <xf numFmtId="168" fontId="12" fillId="2" borderId="5" xfId="0" applyNumberFormat="1" applyFont="1" applyFill="1" applyBorder="1" applyAlignment="1">
      <alignment horizontal="left"/>
    </xf>
    <xf numFmtId="168" fontId="12" fillId="2" borderId="6" xfId="0" applyNumberFormat="1" applyFont="1" applyFill="1" applyBorder="1" applyAlignment="1">
      <alignment horizontal="left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right" vertical="center" wrapText="1"/>
    </xf>
    <xf numFmtId="0" fontId="6" fillId="2" borderId="5" xfId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3" xfId="0" applyFont="1" applyBorder="1" applyAlignment="1">
      <alignment horizontal="center" vertical="top"/>
    </xf>
    <xf numFmtId="0" fontId="13" fillId="0" borderId="14" xfId="0" applyFont="1" applyBorder="1" applyAlignment="1">
      <alignment horizontal="center" vertical="top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left"/>
    </xf>
    <xf numFmtId="164" fontId="12" fillId="2" borderId="6" xfId="0" applyNumberFormat="1" applyFont="1" applyFill="1" applyBorder="1" applyAlignment="1">
      <alignment horizontal="left"/>
    </xf>
    <xf numFmtId="164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2" fillId="2" borderId="6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3" fillId="2" borderId="63" xfId="1" applyFont="1" applyFill="1" applyBorder="1" applyAlignment="1">
      <alignment horizontal="center" vertical="center"/>
    </xf>
    <xf numFmtId="0" fontId="13" fillId="2" borderId="64" xfId="1" applyFont="1" applyFill="1" applyBorder="1" applyAlignment="1">
      <alignment horizontal="center" vertical="center"/>
    </xf>
    <xf numFmtId="0" fontId="13" fillId="2" borderId="65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2" fillId="2" borderId="64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64" fontId="12" fillId="0" borderId="65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2" fillId="2" borderId="6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top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 vertical="top"/>
    </xf>
    <xf numFmtId="0" fontId="11" fillId="7" borderId="44" xfId="1" applyFont="1" applyFill="1" applyBorder="1" applyAlignment="1">
      <alignment horizontal="center" vertical="center"/>
    </xf>
    <xf numFmtId="0" fontId="11" fillId="7" borderId="45" xfId="1" applyFont="1" applyFill="1" applyBorder="1" applyAlignment="1">
      <alignment horizontal="center" vertical="center"/>
    </xf>
    <xf numFmtId="0" fontId="1" fillId="0" borderId="2" xfId="1" applyBorder="1" applyAlignment="1" applyProtection="1">
      <alignment horizontal="center" vertical="center"/>
      <protection locked="0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7" xfId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horizontal="center" vertical="center"/>
      <protection locked="0"/>
    </xf>
    <xf numFmtId="0" fontId="1" fillId="0" borderId="12" xfId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4" fillId="0" borderId="8" xfId="1" applyFont="1" applyBorder="1" applyAlignment="1" applyProtection="1">
      <alignment horizontal="center" vertical="center" wrapText="1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5" fillId="2" borderId="8" xfId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 applyProtection="1">
      <alignment horizontal="left" vertical="center"/>
      <protection locked="0"/>
    </xf>
    <xf numFmtId="0" fontId="6" fillId="2" borderId="8" xfId="1" applyFont="1" applyFill="1" applyBorder="1" applyAlignment="1" applyProtection="1">
      <alignment horizontal="left" vertical="center"/>
      <protection locked="0"/>
    </xf>
    <xf numFmtId="0" fontId="7" fillId="2" borderId="13" xfId="1" applyFont="1" applyFill="1" applyBorder="1" applyAlignment="1" applyProtection="1">
      <alignment horizontal="center"/>
      <protection locked="0"/>
    </xf>
    <xf numFmtId="167" fontId="7" fillId="2" borderId="13" xfId="1" applyNumberFormat="1" applyFont="1" applyFill="1" applyBorder="1" applyAlignment="1" applyProtection="1">
      <alignment horizontal="center"/>
      <protection locked="0"/>
    </xf>
    <xf numFmtId="0" fontId="11" fillId="2" borderId="31" xfId="1" applyFont="1" applyFill="1" applyBorder="1" applyAlignment="1">
      <alignment horizontal="center" vertical="center"/>
    </xf>
    <xf numFmtId="0" fontId="11" fillId="2" borderId="37" xfId="1" applyFont="1" applyFill="1" applyBorder="1" applyAlignment="1">
      <alignment horizontal="center" vertical="center"/>
    </xf>
    <xf numFmtId="0" fontId="11" fillId="2" borderId="32" xfId="1" applyFont="1" applyFill="1" applyBorder="1" applyAlignment="1">
      <alignment horizontal="center" vertical="center" wrapText="1"/>
    </xf>
    <xf numFmtId="0" fontId="11" fillId="2" borderId="38" xfId="1" applyFont="1" applyFill="1" applyBorder="1" applyAlignment="1">
      <alignment horizontal="center" vertical="center" wrapText="1"/>
    </xf>
    <xf numFmtId="0" fontId="11" fillId="2" borderId="33" xfId="1" applyFont="1" applyFill="1" applyBorder="1" applyAlignment="1">
      <alignment horizontal="center"/>
    </xf>
    <xf numFmtId="0" fontId="11" fillId="2" borderId="34" xfId="1" applyFont="1" applyFill="1" applyBorder="1" applyAlignment="1">
      <alignment horizontal="center"/>
    </xf>
    <xf numFmtId="0" fontId="11" fillId="2" borderId="66" xfId="1" applyFont="1" applyFill="1" applyBorder="1" applyAlignment="1">
      <alignment horizontal="left" wrapText="1"/>
    </xf>
    <xf numFmtId="0" fontId="11" fillId="2" borderId="67" xfId="1" applyFont="1" applyFill="1" applyBorder="1" applyAlignment="1">
      <alignment horizontal="left" wrapText="1"/>
    </xf>
    <xf numFmtId="0" fontId="11" fillId="2" borderId="68" xfId="1" applyFont="1" applyFill="1" applyBorder="1" applyAlignment="1">
      <alignment horizontal="left" wrapText="1"/>
    </xf>
    <xf numFmtId="49" fontId="11" fillId="0" borderId="48" xfId="1" applyNumberFormat="1" applyFont="1" applyBorder="1" applyAlignment="1">
      <alignment horizontal="center" vertical="center"/>
    </xf>
    <xf numFmtId="49" fontId="11" fillId="0" borderId="50" xfId="1" applyNumberFormat="1" applyFont="1" applyBorder="1" applyAlignment="1">
      <alignment horizontal="center" vertical="center"/>
    </xf>
    <xf numFmtId="167" fontId="11" fillId="0" borderId="49" xfId="7" applyNumberFormat="1" applyFont="1" applyBorder="1" applyAlignment="1">
      <alignment horizontal="left" vertical="center"/>
    </xf>
    <xf numFmtId="167" fontId="11" fillId="0" borderId="51" xfId="7" applyNumberFormat="1" applyFont="1" applyBorder="1" applyAlignment="1">
      <alignment horizontal="left" vertical="center"/>
    </xf>
    <xf numFmtId="167" fontId="11" fillId="0" borderId="52" xfId="7" applyNumberFormat="1" applyFont="1" applyBorder="1" applyAlignment="1">
      <alignment horizontal="left" vertical="center"/>
    </xf>
    <xf numFmtId="167" fontId="11" fillId="0" borderId="49" xfId="7" applyNumberFormat="1" applyFont="1" applyBorder="1" applyAlignment="1">
      <alignment horizontal="center" vertical="center"/>
    </xf>
    <xf numFmtId="167" fontId="11" fillId="0" borderId="51" xfId="7" applyNumberFormat="1" applyFont="1" applyBorder="1" applyAlignment="1">
      <alignment horizontal="center" vertical="center"/>
    </xf>
    <xf numFmtId="167" fontId="11" fillId="0" borderId="52" xfId="7" applyNumberFormat="1" applyFont="1" applyBorder="1" applyAlignment="1">
      <alignment horizontal="center" vertical="center"/>
    </xf>
    <xf numFmtId="10" fontId="10" fillId="0" borderId="53" xfId="8" applyNumberFormat="1" applyFont="1" applyBorder="1" applyAlignment="1">
      <alignment horizontal="center" vertical="center"/>
    </xf>
    <xf numFmtId="10" fontId="10" fillId="0" borderId="59" xfId="8" applyNumberFormat="1" applyFont="1" applyBorder="1" applyAlignment="1">
      <alignment horizontal="center" vertical="center"/>
    </xf>
    <xf numFmtId="10" fontId="10" fillId="0" borderId="60" xfId="8" applyNumberFormat="1" applyFont="1" applyBorder="1" applyAlignment="1">
      <alignment horizontal="center" vertical="center"/>
    </xf>
    <xf numFmtId="0" fontId="11" fillId="0" borderId="48" xfId="1" applyFont="1" applyBorder="1" applyAlignment="1">
      <alignment horizontal="left"/>
    </xf>
    <xf numFmtId="0" fontId="11" fillId="0" borderId="53" xfId="1" applyFont="1" applyBorder="1" applyAlignment="1">
      <alignment horizontal="left"/>
    </xf>
    <xf numFmtId="0" fontId="11" fillId="0" borderId="56" xfId="1" applyFont="1" applyBorder="1" applyAlignment="1">
      <alignment horizontal="left"/>
    </xf>
    <xf numFmtId="0" fontId="11" fillId="0" borderId="57" xfId="1" applyFont="1" applyBorder="1" applyAlignment="1">
      <alignment horizontal="left"/>
    </xf>
    <xf numFmtId="168" fontId="1" fillId="0" borderId="2" xfId="1" applyNumberFormat="1" applyBorder="1" applyAlignment="1">
      <alignment horizontal="right" vertical="center"/>
    </xf>
    <xf numFmtId="168" fontId="1" fillId="0" borderId="10" xfId="1" applyNumberFormat="1" applyBorder="1" applyAlignment="1">
      <alignment horizontal="right" vertical="center"/>
    </xf>
    <xf numFmtId="168" fontId="1" fillId="0" borderId="3" xfId="1" applyNumberFormat="1" applyBorder="1" applyAlignment="1">
      <alignment horizontal="right" vertical="center"/>
    </xf>
    <xf numFmtId="0" fontId="11" fillId="2" borderId="61" xfId="1" applyFont="1" applyFill="1" applyBorder="1" applyAlignment="1">
      <alignment horizontal="center"/>
    </xf>
    <xf numFmtId="0" fontId="11" fillId="2" borderId="35" xfId="1" applyFont="1" applyFill="1" applyBorder="1" applyAlignment="1">
      <alignment horizontal="center"/>
    </xf>
    <xf numFmtId="0" fontId="11" fillId="2" borderId="36" xfId="1" applyFont="1" applyFill="1" applyBorder="1" applyAlignment="1">
      <alignment horizontal="center"/>
    </xf>
  </cellXfs>
  <cellStyles count="9">
    <cellStyle name="Moeda 2" xfId="3"/>
    <cellStyle name="Moeda 2 2" xfId="7"/>
    <cellStyle name="Normal" xfId="0" builtinId="0"/>
    <cellStyle name="Normal 2" xfId="1"/>
    <cellStyle name="Normal 3" xfId="2"/>
    <cellStyle name="Porcentagem 2" xfId="4"/>
    <cellStyle name="Porcentagem 2 2" xfId="8"/>
    <cellStyle name="Separador de milhares 2" xfId="5"/>
    <cellStyle name="Vírgula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96053</xdr:rowOff>
    </xdr:from>
    <xdr:to>
      <xdr:col>1</xdr:col>
      <xdr:colOff>646943</xdr:colOff>
      <xdr:row>4</xdr:row>
      <xdr:rowOff>47625</xdr:rowOff>
    </xdr:to>
    <xdr:pic>
      <xdr:nvPicPr>
        <xdr:cNvPr id="2" name="Picture 1" descr="MARAPE   BRASAO oficialb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57151" y="96053"/>
          <a:ext cx="932692" cy="675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96053</xdr:rowOff>
    </xdr:from>
    <xdr:to>
      <xdr:col>1</xdr:col>
      <xdr:colOff>646943</xdr:colOff>
      <xdr:row>4</xdr:row>
      <xdr:rowOff>47625</xdr:rowOff>
    </xdr:to>
    <xdr:pic>
      <xdr:nvPicPr>
        <xdr:cNvPr id="2" name="Picture 1" descr="MARAPE   BRASAO oficialb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57151" y="96053"/>
          <a:ext cx="932692" cy="675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19050</xdr:rowOff>
    </xdr:from>
    <xdr:to>
      <xdr:col>1</xdr:col>
      <xdr:colOff>904875</xdr:colOff>
      <xdr:row>4</xdr:row>
      <xdr:rowOff>228600</xdr:rowOff>
    </xdr:to>
    <xdr:pic>
      <xdr:nvPicPr>
        <xdr:cNvPr id="2" name="Picture 1" descr="MARAPE   BRASAO oficialb1">
          <a:extLst>
            <a:ext uri="{FF2B5EF4-FFF2-40B4-BE49-F238E27FC236}">
              <a16:creationId xmlns:a16="http://schemas.microsoft.com/office/drawing/2014/main" xmlns="" id="{D24CAA1D-F178-4B87-AEFE-01A932E93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80975"/>
          <a:ext cx="1009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19050</xdr:rowOff>
    </xdr:from>
    <xdr:to>
      <xdr:col>1</xdr:col>
      <xdr:colOff>904875</xdr:colOff>
      <xdr:row>4</xdr:row>
      <xdr:rowOff>228600</xdr:rowOff>
    </xdr:to>
    <xdr:pic>
      <xdr:nvPicPr>
        <xdr:cNvPr id="2" name="Picture 1" descr="MARAPE   BRASAO oficialb1">
          <a:extLst>
            <a:ext uri="{FF2B5EF4-FFF2-40B4-BE49-F238E27FC236}">
              <a16:creationId xmlns:a16="http://schemas.microsoft.com/office/drawing/2014/main" xmlns="" id="{F8C0AF5E-8DB2-422A-8EAC-6A1DF6B79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80975"/>
          <a:ext cx="1009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unico%20Tinoco/OneDrive%20-%20mail.ccsf.edu/Arquivos%20Salvando/01%20Ghiotto.se%20PC/02%20Prefeitura%20de%20Atilio/Executando/Pav.%20Julio%20C.%20P.%20de%20Brito/Aditivo/Aditivo%20Julio%20Cesar%20Porto%20de%20Brit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O. Alt. C Muro"/>
      <sheetName val="CPU c. Muro"/>
      <sheetName val="Crono."/>
      <sheetName val="BDI"/>
      <sheetName val="Aditivo preço vencedor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9"/>
  <sheetViews>
    <sheetView view="pageBreakPreview" topLeftCell="A87" zoomScale="98" zoomScaleNormal="90" zoomScaleSheetLayoutView="98" workbookViewId="0">
      <selection activeCell="C97" sqref="C97"/>
    </sheetView>
  </sheetViews>
  <sheetFormatPr defaultRowHeight="15" x14ac:dyDescent="0.25"/>
  <cols>
    <col min="1" max="1" width="5.140625" bestFit="1" customWidth="1"/>
    <col min="2" max="2" width="13" style="2" customWidth="1"/>
    <col min="3" max="3" width="65.42578125" customWidth="1"/>
    <col min="4" max="4" width="5.85546875" customWidth="1"/>
    <col min="5" max="5" width="12.7109375" customWidth="1"/>
    <col min="6" max="6" width="18" customWidth="1"/>
    <col min="7" max="7" width="16.7109375" style="1" customWidth="1"/>
    <col min="8" max="8" width="9.7109375" customWidth="1"/>
    <col min="9" max="9" width="21.7109375" style="15" customWidth="1"/>
    <col min="10" max="10" width="13.5703125" bestFit="1" customWidth="1"/>
  </cols>
  <sheetData>
    <row r="1" spans="1:12" s="4" customFormat="1" ht="16.5" customHeight="1" thickBot="1" x14ac:dyDescent="0.3">
      <c r="A1" s="221"/>
      <c r="B1" s="222"/>
      <c r="C1" s="227" t="s">
        <v>8</v>
      </c>
      <c r="D1" s="228"/>
      <c r="E1" s="228"/>
      <c r="F1" s="228"/>
      <c r="G1" s="229"/>
      <c r="I1" s="10"/>
    </row>
    <row r="2" spans="1:12" s="4" customFormat="1" ht="13.5" customHeight="1" thickBot="1" x14ac:dyDescent="0.3">
      <c r="A2" s="223"/>
      <c r="B2" s="224"/>
      <c r="C2" s="87" t="s">
        <v>83</v>
      </c>
      <c r="D2" s="230" t="s">
        <v>76</v>
      </c>
      <c r="E2" s="231"/>
      <c r="F2" s="231"/>
      <c r="G2" s="232"/>
      <c r="I2" s="17" t="s">
        <v>37</v>
      </c>
    </row>
    <row r="3" spans="1:12" s="4" customFormat="1" ht="15" customHeight="1" x14ac:dyDescent="0.25">
      <c r="A3" s="223"/>
      <c r="B3" s="224"/>
      <c r="C3" s="239" t="s">
        <v>156</v>
      </c>
      <c r="D3" s="233"/>
      <c r="E3" s="234"/>
      <c r="F3" s="234"/>
      <c r="G3" s="235"/>
      <c r="I3" s="10"/>
    </row>
    <row r="4" spans="1:12" s="4" customFormat="1" ht="12" customHeight="1" thickBot="1" x14ac:dyDescent="0.3">
      <c r="A4" s="223"/>
      <c r="B4" s="224"/>
      <c r="C4" s="240"/>
      <c r="D4" s="236"/>
      <c r="E4" s="237"/>
      <c r="F4" s="237"/>
      <c r="G4" s="238"/>
      <c r="I4" s="10"/>
    </row>
    <row r="5" spans="1:12" s="4" customFormat="1" ht="15.75" customHeight="1" thickBot="1" x14ac:dyDescent="0.3">
      <c r="A5" s="225"/>
      <c r="B5" s="226"/>
      <c r="C5" s="88" t="s">
        <v>157</v>
      </c>
      <c r="D5" s="241" t="s">
        <v>15</v>
      </c>
      <c r="E5" s="242"/>
      <c r="F5" s="242"/>
      <c r="G5" s="89">
        <v>0.309</v>
      </c>
      <c r="I5" s="11"/>
      <c r="K5" s="4" t="str">
        <f>C3</f>
        <v xml:space="preserve">OBRA/SERVIÇO: MURO DE CONTENÇÃO DA RUA MANOEL PIO </v>
      </c>
    </row>
    <row r="6" spans="1:12" s="4" customFormat="1" ht="26.25" thickBot="1" x14ac:dyDescent="0.3">
      <c r="A6" s="90" t="s">
        <v>0</v>
      </c>
      <c r="B6" s="91" t="s">
        <v>25</v>
      </c>
      <c r="C6" s="91" t="s">
        <v>9</v>
      </c>
      <c r="D6" s="91" t="s">
        <v>10</v>
      </c>
      <c r="E6" s="92" t="s">
        <v>1</v>
      </c>
      <c r="F6" s="93" t="s">
        <v>11</v>
      </c>
      <c r="G6" s="94" t="s">
        <v>12</v>
      </c>
      <c r="I6" s="9" t="s">
        <v>75</v>
      </c>
      <c r="K6" s="4" t="str">
        <f>C5</f>
        <v>LOCAL: RUA MANOEL PIO - ALTO NITERÓI,  ATÍLIO VIVÁCQUA-ES</v>
      </c>
    </row>
    <row r="7" spans="1:12" s="4" customFormat="1" ht="15.75" hidden="1" customHeight="1" thickBot="1" x14ac:dyDescent="0.3">
      <c r="A7" s="95"/>
      <c r="B7" s="96"/>
      <c r="C7" s="97" t="s">
        <v>85</v>
      </c>
      <c r="D7" s="98"/>
      <c r="E7" s="98"/>
      <c r="F7" s="98"/>
      <c r="G7" s="99"/>
      <c r="I7" s="12"/>
    </row>
    <row r="8" spans="1:12" s="4" customFormat="1" ht="15.75" hidden="1" customHeight="1" thickBot="1" x14ac:dyDescent="0.3">
      <c r="A8" s="95">
        <v>1</v>
      </c>
      <c r="B8" s="96"/>
      <c r="C8" s="97" t="s">
        <v>2</v>
      </c>
      <c r="D8" s="98"/>
      <c r="E8" s="98"/>
      <c r="F8" s="98"/>
      <c r="G8" s="99"/>
      <c r="I8" s="12"/>
    </row>
    <row r="9" spans="1:12" s="4" customFormat="1" ht="25.5" hidden="1" customHeight="1" x14ac:dyDescent="0.25">
      <c r="A9" s="100" t="s">
        <v>3</v>
      </c>
      <c r="B9" s="101" t="s">
        <v>81</v>
      </c>
      <c r="C9" s="102" t="s">
        <v>80</v>
      </c>
      <c r="D9" s="103" t="s">
        <v>4</v>
      </c>
      <c r="E9" s="104">
        <v>2.5</v>
      </c>
      <c r="F9" s="105">
        <f>ROUND((I9*(1+$G$5)),2)</f>
        <v>330.33</v>
      </c>
      <c r="G9" s="106">
        <f>ROUND((F9*E9),2)</f>
        <v>825.83</v>
      </c>
      <c r="I9" s="16">
        <v>252.35</v>
      </c>
      <c r="K9" s="247"/>
      <c r="L9" s="248"/>
    </row>
    <row r="10" spans="1:12" s="4" customFormat="1" ht="15.75" hidden="1" customHeight="1" thickBot="1" x14ac:dyDescent="0.3">
      <c r="A10" s="107"/>
      <c r="B10" s="108"/>
      <c r="C10" s="109"/>
      <c r="D10" s="110"/>
      <c r="E10" s="111"/>
      <c r="F10" s="112" t="s">
        <v>24</v>
      </c>
      <c r="G10" s="113">
        <f>SUM(G9)</f>
        <v>825.83</v>
      </c>
      <c r="I10" s="13"/>
      <c r="J10" s="8"/>
      <c r="K10" s="7"/>
      <c r="L10" s="8"/>
    </row>
    <row r="11" spans="1:12" s="4" customFormat="1" ht="15.75" hidden="1" customHeight="1" thickBot="1" x14ac:dyDescent="0.3">
      <c r="A11" s="95">
        <v>2</v>
      </c>
      <c r="B11" s="96"/>
      <c r="C11" s="97" t="s">
        <v>38</v>
      </c>
      <c r="D11" s="98"/>
      <c r="E11" s="114"/>
      <c r="F11" s="115"/>
      <c r="G11" s="116"/>
      <c r="I11" s="13"/>
      <c r="J11" s="5"/>
    </row>
    <row r="12" spans="1:12" s="4" customFormat="1" ht="25.5" hidden="1" customHeight="1" x14ac:dyDescent="0.25">
      <c r="A12" s="117" t="s">
        <v>16</v>
      </c>
      <c r="B12" s="118" t="s">
        <v>28</v>
      </c>
      <c r="C12" s="119" t="s">
        <v>27</v>
      </c>
      <c r="D12" s="120" t="s">
        <v>43</v>
      </c>
      <c r="E12" s="121">
        <v>95</v>
      </c>
      <c r="F12" s="122">
        <v>47.99</v>
      </c>
      <c r="G12" s="123">
        <f t="shared" ref="G12:G14" si="0">ROUND((F12*E12),2)</f>
        <v>4559.05</v>
      </c>
      <c r="I12" s="16">
        <v>35.04</v>
      </c>
    </row>
    <row r="13" spans="1:12" s="4" customFormat="1" ht="26.25" hidden="1" customHeight="1" x14ac:dyDescent="0.25">
      <c r="A13" s="117" t="s">
        <v>17</v>
      </c>
      <c r="B13" s="124" t="s">
        <v>65</v>
      </c>
      <c r="C13" s="125" t="s">
        <v>63</v>
      </c>
      <c r="D13" s="126" t="s">
        <v>4</v>
      </c>
      <c r="E13" s="127">
        <v>12.35</v>
      </c>
      <c r="F13" s="122">
        <v>25.11</v>
      </c>
      <c r="G13" s="123">
        <f t="shared" si="0"/>
        <v>310.11</v>
      </c>
      <c r="I13" s="16">
        <v>18.329999999999998</v>
      </c>
    </row>
    <row r="14" spans="1:12" s="4" customFormat="1" ht="25.5" hidden="1" customHeight="1" x14ac:dyDescent="0.25">
      <c r="A14" s="117" t="s">
        <v>18</v>
      </c>
      <c r="B14" s="124" t="s">
        <v>66</v>
      </c>
      <c r="C14" s="125" t="s">
        <v>64</v>
      </c>
      <c r="D14" s="126" t="s">
        <v>4</v>
      </c>
      <c r="E14" s="127">
        <v>38</v>
      </c>
      <c r="F14" s="122">
        <v>40.68</v>
      </c>
      <c r="G14" s="123">
        <f t="shared" si="0"/>
        <v>1545.84</v>
      </c>
      <c r="I14" s="16">
        <v>29.85</v>
      </c>
    </row>
    <row r="15" spans="1:12" s="4" customFormat="1" ht="15.75" hidden="1" customHeight="1" thickBot="1" x14ac:dyDescent="0.3">
      <c r="A15" s="128"/>
      <c r="B15" s="129"/>
      <c r="C15" s="130"/>
      <c r="D15" s="131"/>
      <c r="E15" s="132"/>
      <c r="F15" s="133" t="s">
        <v>22</v>
      </c>
      <c r="G15" s="134">
        <f>SUM(G12:G14)</f>
        <v>6415</v>
      </c>
      <c r="I15" s="13"/>
    </row>
    <row r="16" spans="1:12" s="4" customFormat="1" ht="15.75" hidden="1" customHeight="1" thickBot="1" x14ac:dyDescent="0.3">
      <c r="A16" s="95">
        <v>3</v>
      </c>
      <c r="B16" s="96"/>
      <c r="C16" s="97" t="s">
        <v>26</v>
      </c>
      <c r="D16" s="135"/>
      <c r="E16" s="114"/>
      <c r="F16" s="115"/>
      <c r="G16" s="116"/>
      <c r="I16" s="13"/>
      <c r="J16" s="6"/>
    </row>
    <row r="17" spans="1:12" s="4" customFormat="1" ht="38.25" hidden="1" customHeight="1" x14ac:dyDescent="0.25">
      <c r="A17" s="117" t="s">
        <v>5</v>
      </c>
      <c r="B17" s="124" t="s">
        <v>30</v>
      </c>
      <c r="C17" s="125" t="s">
        <v>29</v>
      </c>
      <c r="D17" s="126" t="s">
        <v>4</v>
      </c>
      <c r="E17" s="127">
        <v>152</v>
      </c>
      <c r="F17" s="122">
        <v>67.849999999999994</v>
      </c>
      <c r="G17" s="136">
        <f t="shared" ref="G17" si="1">ROUND((F17*E17),2)</f>
        <v>10313.200000000001</v>
      </c>
      <c r="I17" s="16">
        <v>87.35</v>
      </c>
      <c r="J17" s="6"/>
    </row>
    <row r="18" spans="1:12" s="4" customFormat="1" ht="25.5" hidden="1" customHeight="1" x14ac:dyDescent="0.25">
      <c r="A18" s="117" t="s">
        <v>6</v>
      </c>
      <c r="B18" s="137" t="s">
        <v>32</v>
      </c>
      <c r="C18" s="138" t="s">
        <v>31</v>
      </c>
      <c r="D18" s="126" t="s">
        <v>43</v>
      </c>
      <c r="E18" s="139">
        <v>95</v>
      </c>
      <c r="F18" s="122">
        <v>528.6</v>
      </c>
      <c r="G18" s="140">
        <f t="shared" ref="G18:G20" si="2">ROUND((F18*E18),2)</f>
        <v>50217</v>
      </c>
      <c r="I18" s="16">
        <v>381.46</v>
      </c>
      <c r="J18" s="6"/>
    </row>
    <row r="19" spans="1:12" s="4" customFormat="1" ht="25.5" hidden="1" customHeight="1" x14ac:dyDescent="0.25">
      <c r="A19" s="117" t="s">
        <v>7</v>
      </c>
      <c r="B19" s="137" t="s">
        <v>34</v>
      </c>
      <c r="C19" s="138" t="s">
        <v>33</v>
      </c>
      <c r="D19" s="141" t="s">
        <v>67</v>
      </c>
      <c r="E19" s="139">
        <v>112.1</v>
      </c>
      <c r="F19" s="122">
        <v>63.38</v>
      </c>
      <c r="G19" s="140">
        <f t="shared" si="2"/>
        <v>7104.9</v>
      </c>
      <c r="I19" s="16">
        <v>45.32</v>
      </c>
      <c r="J19" s="6"/>
    </row>
    <row r="20" spans="1:12" s="4" customFormat="1" ht="26.25" hidden="1" customHeight="1" thickBot="1" x14ac:dyDescent="0.3">
      <c r="A20" s="117" t="s">
        <v>39</v>
      </c>
      <c r="B20" s="124" t="s">
        <v>36</v>
      </c>
      <c r="C20" s="125" t="s">
        <v>35</v>
      </c>
      <c r="D20" s="126" t="s">
        <v>43</v>
      </c>
      <c r="E20" s="127">
        <v>30.4</v>
      </c>
      <c r="F20" s="122">
        <f>ROUND((I20*(1+$G$5)),2)</f>
        <v>94.93</v>
      </c>
      <c r="G20" s="123">
        <f t="shared" si="2"/>
        <v>2885.87</v>
      </c>
      <c r="I20" s="16">
        <v>72.52</v>
      </c>
      <c r="J20" s="6"/>
    </row>
    <row r="21" spans="1:12" s="4" customFormat="1" ht="15.75" hidden="1" customHeight="1" thickBot="1" x14ac:dyDescent="0.3">
      <c r="A21" s="142"/>
      <c r="B21" s="143"/>
      <c r="C21" s="144"/>
      <c r="D21" s="145"/>
      <c r="E21" s="146"/>
      <c r="F21" s="147" t="s">
        <v>23</v>
      </c>
      <c r="G21" s="148">
        <f>SUM(G17:G20)</f>
        <v>70520.969999999987</v>
      </c>
      <c r="I21" s="13"/>
      <c r="J21" s="5"/>
    </row>
    <row r="22" spans="1:12" s="4" customFormat="1" ht="15.75" hidden="1" customHeight="1" thickBot="1" x14ac:dyDescent="0.3">
      <c r="A22" s="95">
        <v>4</v>
      </c>
      <c r="B22" s="96"/>
      <c r="C22" s="97" t="s">
        <v>41</v>
      </c>
      <c r="D22" s="135"/>
      <c r="E22" s="114"/>
      <c r="F22" s="115"/>
      <c r="G22" s="116"/>
      <c r="I22" s="13"/>
      <c r="J22" s="5"/>
    </row>
    <row r="23" spans="1:12" s="4" customFormat="1" ht="51" hidden="1" customHeight="1" x14ac:dyDescent="0.25">
      <c r="A23" s="117" t="s">
        <v>49</v>
      </c>
      <c r="B23" s="124" t="s">
        <v>78</v>
      </c>
      <c r="C23" s="125" t="s">
        <v>79</v>
      </c>
      <c r="D23" s="126" t="s">
        <v>4</v>
      </c>
      <c r="E23" s="127">
        <v>23.18</v>
      </c>
      <c r="F23" s="122">
        <v>82.19</v>
      </c>
      <c r="G23" s="140">
        <f t="shared" ref="G23" si="3">ROUND((F23*E23),2)</f>
        <v>1905.16</v>
      </c>
      <c r="I23" s="16">
        <v>108.58</v>
      </c>
      <c r="J23" s="5"/>
    </row>
    <row r="24" spans="1:12" s="4" customFormat="1" ht="25.5" hidden="1" customHeight="1" x14ac:dyDescent="0.25">
      <c r="A24" s="117" t="s">
        <v>50</v>
      </c>
      <c r="B24" s="124" t="s">
        <v>47</v>
      </c>
      <c r="C24" s="125" t="s">
        <v>44</v>
      </c>
      <c r="D24" s="126" t="s">
        <v>53</v>
      </c>
      <c r="E24" s="127">
        <v>184.13</v>
      </c>
      <c r="F24" s="122">
        <v>8.3000000000000007</v>
      </c>
      <c r="G24" s="123">
        <f t="shared" ref="G24:G26" si="4">ROUND((F24*E24),2)</f>
        <v>1528.28</v>
      </c>
      <c r="I24" s="16">
        <v>6.69</v>
      </c>
      <c r="J24" s="5"/>
    </row>
    <row r="25" spans="1:12" s="4" customFormat="1" ht="25.5" hidden="1" customHeight="1" x14ac:dyDescent="0.25">
      <c r="A25" s="117" t="s">
        <v>51</v>
      </c>
      <c r="B25" s="124" t="s">
        <v>48</v>
      </c>
      <c r="C25" s="125" t="s">
        <v>45</v>
      </c>
      <c r="D25" s="126" t="s">
        <v>53</v>
      </c>
      <c r="E25" s="127">
        <v>11.4</v>
      </c>
      <c r="F25" s="122">
        <v>8.44</v>
      </c>
      <c r="G25" s="123">
        <f t="shared" si="4"/>
        <v>96.22</v>
      </c>
      <c r="I25" s="16">
        <v>6.73</v>
      </c>
      <c r="J25" s="5"/>
    </row>
    <row r="26" spans="1:12" s="4" customFormat="1" ht="26.25" hidden="1" customHeight="1" thickBot="1" x14ac:dyDescent="0.3">
      <c r="A26" s="117" t="s">
        <v>52</v>
      </c>
      <c r="B26" s="124" t="s">
        <v>73</v>
      </c>
      <c r="C26" s="125" t="s">
        <v>72</v>
      </c>
      <c r="D26" s="126" t="s">
        <v>43</v>
      </c>
      <c r="E26" s="127">
        <v>6.39</v>
      </c>
      <c r="F26" s="122">
        <v>656.32</v>
      </c>
      <c r="G26" s="123">
        <f t="shared" si="4"/>
        <v>4193.88</v>
      </c>
      <c r="I26" s="16">
        <v>477.75</v>
      </c>
      <c r="J26" s="5"/>
    </row>
    <row r="27" spans="1:12" s="4" customFormat="1" ht="15.75" hidden="1" customHeight="1" thickBot="1" x14ac:dyDescent="0.3">
      <c r="A27" s="142"/>
      <c r="B27" s="143"/>
      <c r="C27" s="144"/>
      <c r="D27" s="145"/>
      <c r="E27" s="146"/>
      <c r="F27" s="147" t="s">
        <v>74</v>
      </c>
      <c r="G27" s="148">
        <f>SUM(G23:G26)</f>
        <v>7723.54</v>
      </c>
      <c r="I27" s="13"/>
      <c r="J27" s="5"/>
    </row>
    <row r="28" spans="1:12" s="4" customFormat="1" ht="9" hidden="1" customHeight="1" thickBot="1" x14ac:dyDescent="0.3">
      <c r="A28" s="95"/>
      <c r="B28" s="96"/>
      <c r="C28" s="97"/>
      <c r="D28" s="135"/>
      <c r="E28" s="114"/>
      <c r="F28" s="149"/>
      <c r="G28" s="116"/>
      <c r="I28" s="14"/>
      <c r="J28" s="5"/>
    </row>
    <row r="29" spans="1:12" s="4" customFormat="1" ht="15.75" hidden="1" customHeight="1" thickBot="1" x14ac:dyDescent="0.3">
      <c r="A29" s="251" t="s">
        <v>86</v>
      </c>
      <c r="B29" s="252"/>
      <c r="C29" s="252"/>
      <c r="D29" s="252"/>
      <c r="E29" s="252"/>
      <c r="F29" s="253"/>
      <c r="G29" s="150">
        <f>G10+G15+G21+G27</f>
        <v>85485.339999999982</v>
      </c>
      <c r="I29" s="14"/>
      <c r="J29" s="5"/>
    </row>
    <row r="30" spans="1:12" s="4" customFormat="1" ht="15.75" hidden="1" customHeight="1" thickBot="1" x14ac:dyDescent="0.3">
      <c r="A30" s="95"/>
      <c r="B30" s="96"/>
      <c r="C30" s="97" t="s">
        <v>87</v>
      </c>
      <c r="D30" s="98"/>
      <c r="E30" s="98"/>
      <c r="F30" s="98"/>
      <c r="G30" s="99"/>
      <c r="I30" s="12"/>
    </row>
    <row r="31" spans="1:12" s="4" customFormat="1" ht="15.75" hidden="1" customHeight="1" thickBot="1" x14ac:dyDescent="0.3">
      <c r="A31" s="95">
        <v>1</v>
      </c>
      <c r="B31" s="96"/>
      <c r="C31" s="97" t="s">
        <v>2</v>
      </c>
      <c r="D31" s="98"/>
      <c r="E31" s="98"/>
      <c r="F31" s="98"/>
      <c r="G31" s="99"/>
      <c r="I31" s="12"/>
    </row>
    <row r="32" spans="1:12" s="4" customFormat="1" ht="25.5" hidden="1" customHeight="1" x14ac:dyDescent="0.25">
      <c r="A32" s="100" t="s">
        <v>3</v>
      </c>
      <c r="B32" s="101" t="s">
        <v>81</v>
      </c>
      <c r="C32" s="102" t="s">
        <v>80</v>
      </c>
      <c r="D32" s="103" t="s">
        <v>4</v>
      </c>
      <c r="E32" s="104">
        <v>2.5</v>
      </c>
      <c r="F32" s="105">
        <f>ROUND((I32*(1+$G$5)),2)</f>
        <v>330.33</v>
      </c>
      <c r="G32" s="106">
        <f>ROUND((F32*E32),2)</f>
        <v>825.83</v>
      </c>
      <c r="I32" s="16">
        <v>252.35</v>
      </c>
      <c r="K32" s="247"/>
      <c r="L32" s="248"/>
    </row>
    <row r="33" spans="1:12" s="4" customFormat="1" ht="15.75" hidden="1" customHeight="1" thickBot="1" x14ac:dyDescent="0.3">
      <c r="A33" s="107"/>
      <c r="B33" s="108"/>
      <c r="C33" s="109"/>
      <c r="D33" s="110"/>
      <c r="E33" s="111"/>
      <c r="F33" s="112" t="s">
        <v>24</v>
      </c>
      <c r="G33" s="113">
        <f>SUM(G32)</f>
        <v>825.83</v>
      </c>
      <c r="I33" s="7"/>
      <c r="J33" s="8"/>
      <c r="K33" s="7"/>
      <c r="L33" s="8"/>
    </row>
    <row r="34" spans="1:12" s="4" customFormat="1" ht="15.75" hidden="1" customHeight="1" thickBot="1" x14ac:dyDescent="0.3">
      <c r="A34" s="95">
        <v>2</v>
      </c>
      <c r="B34" s="96"/>
      <c r="C34" s="97" t="s">
        <v>38</v>
      </c>
      <c r="D34" s="98"/>
      <c r="E34" s="114"/>
      <c r="F34" s="115"/>
      <c r="G34" s="116"/>
      <c r="I34" s="247"/>
      <c r="J34" s="247"/>
    </row>
    <row r="35" spans="1:12" s="4" customFormat="1" ht="25.5" hidden="1" customHeight="1" x14ac:dyDescent="0.25">
      <c r="A35" s="117" t="s">
        <v>16</v>
      </c>
      <c r="B35" s="118" t="s">
        <v>28</v>
      </c>
      <c r="C35" s="119" t="s">
        <v>27</v>
      </c>
      <c r="D35" s="120" t="s">
        <v>43</v>
      </c>
      <c r="E35" s="121">
        <v>62.5</v>
      </c>
      <c r="F35" s="122">
        <v>47.99</v>
      </c>
      <c r="G35" s="123">
        <f t="shared" ref="G35:G37" si="5">ROUND((F35*E35),2)</f>
        <v>2999.38</v>
      </c>
      <c r="I35" s="16">
        <v>35.04</v>
      </c>
    </row>
    <row r="36" spans="1:12" s="4" customFormat="1" ht="25.5" hidden="1" customHeight="1" x14ac:dyDescent="0.25">
      <c r="A36" s="117" t="s">
        <v>17</v>
      </c>
      <c r="B36" s="124" t="s">
        <v>65</v>
      </c>
      <c r="C36" s="125" t="s">
        <v>63</v>
      </c>
      <c r="D36" s="126" t="s">
        <v>4</v>
      </c>
      <c r="E36" s="127">
        <v>25</v>
      </c>
      <c r="F36" s="122">
        <v>25.11</v>
      </c>
      <c r="G36" s="123">
        <f t="shared" si="5"/>
        <v>627.75</v>
      </c>
      <c r="I36" s="16">
        <v>18.329999999999998</v>
      </c>
    </row>
    <row r="37" spans="1:12" s="4" customFormat="1" ht="25.5" hidden="1" customHeight="1" x14ac:dyDescent="0.25">
      <c r="A37" s="117" t="s">
        <v>18</v>
      </c>
      <c r="B37" s="124" t="s">
        <v>66</v>
      </c>
      <c r="C37" s="125" t="s">
        <v>64</v>
      </c>
      <c r="D37" s="126" t="s">
        <v>4</v>
      </c>
      <c r="E37" s="127">
        <v>25</v>
      </c>
      <c r="F37" s="122">
        <v>40.68</v>
      </c>
      <c r="G37" s="123">
        <f t="shared" si="5"/>
        <v>1017</v>
      </c>
      <c r="I37" s="16">
        <v>29.85</v>
      </c>
    </row>
    <row r="38" spans="1:12" s="4" customFormat="1" ht="15.75" hidden="1" customHeight="1" thickBot="1" x14ac:dyDescent="0.3">
      <c r="A38" s="128"/>
      <c r="B38" s="129"/>
      <c r="C38" s="130"/>
      <c r="D38" s="131"/>
      <c r="E38" s="132"/>
      <c r="F38" s="133" t="s">
        <v>22</v>
      </c>
      <c r="G38" s="134">
        <f>SUM(G35:G37)</f>
        <v>4644.13</v>
      </c>
      <c r="I38" s="5"/>
    </row>
    <row r="39" spans="1:12" s="4" customFormat="1" ht="15.75" hidden="1" customHeight="1" thickBot="1" x14ac:dyDescent="0.3">
      <c r="A39" s="95">
        <v>3</v>
      </c>
      <c r="B39" s="96"/>
      <c r="C39" s="97" t="s">
        <v>26</v>
      </c>
      <c r="D39" s="135"/>
      <c r="E39" s="114"/>
      <c r="F39" s="115"/>
      <c r="G39" s="116"/>
      <c r="I39" s="5"/>
      <c r="J39" s="6"/>
    </row>
    <row r="40" spans="1:12" s="4" customFormat="1" ht="38.25" hidden="1" customHeight="1" x14ac:dyDescent="0.25">
      <c r="A40" s="117" t="s">
        <v>5</v>
      </c>
      <c r="B40" s="124" t="s">
        <v>30</v>
      </c>
      <c r="C40" s="125" t="s">
        <v>29</v>
      </c>
      <c r="D40" s="126" t="s">
        <v>4</v>
      </c>
      <c r="E40" s="127">
        <v>110</v>
      </c>
      <c r="F40" s="122">
        <v>67.849999999999994</v>
      </c>
      <c r="G40" s="136">
        <f t="shared" ref="G40:G43" si="6">ROUND((F40*E40),2)</f>
        <v>7463.5</v>
      </c>
      <c r="I40" s="16">
        <v>87.35</v>
      </c>
      <c r="J40" s="6"/>
    </row>
    <row r="41" spans="1:12" s="4" customFormat="1" ht="25.5" hidden="1" customHeight="1" x14ac:dyDescent="0.25">
      <c r="A41" s="117" t="s">
        <v>6</v>
      </c>
      <c r="B41" s="137" t="s">
        <v>32</v>
      </c>
      <c r="C41" s="138" t="s">
        <v>31</v>
      </c>
      <c r="D41" s="126" t="s">
        <v>43</v>
      </c>
      <c r="E41" s="139">
        <v>112.5</v>
      </c>
      <c r="F41" s="122">
        <v>528.6</v>
      </c>
      <c r="G41" s="140">
        <f t="shared" si="6"/>
        <v>59467.5</v>
      </c>
      <c r="I41" s="16">
        <v>381.46</v>
      </c>
      <c r="J41" s="6"/>
    </row>
    <row r="42" spans="1:12" s="4" customFormat="1" ht="25.5" hidden="1" customHeight="1" x14ac:dyDescent="0.25">
      <c r="A42" s="117" t="s">
        <v>7</v>
      </c>
      <c r="B42" s="137" t="s">
        <v>34</v>
      </c>
      <c r="C42" s="138" t="s">
        <v>33</v>
      </c>
      <c r="D42" s="141" t="s">
        <v>67</v>
      </c>
      <c r="E42" s="139">
        <v>59</v>
      </c>
      <c r="F42" s="122">
        <v>63.38</v>
      </c>
      <c r="G42" s="140">
        <f t="shared" si="6"/>
        <v>3739.42</v>
      </c>
      <c r="I42" s="16">
        <v>45.32</v>
      </c>
      <c r="J42" s="6"/>
    </row>
    <row r="43" spans="1:12" s="4" customFormat="1" ht="26.25" hidden="1" customHeight="1" thickBot="1" x14ac:dyDescent="0.3">
      <c r="A43" s="117" t="s">
        <v>39</v>
      </c>
      <c r="B43" s="124" t="s">
        <v>36</v>
      </c>
      <c r="C43" s="125" t="s">
        <v>35</v>
      </c>
      <c r="D43" s="126" t="s">
        <v>43</v>
      </c>
      <c r="E43" s="127">
        <v>20</v>
      </c>
      <c r="F43" s="122">
        <f t="shared" ref="F43" si="7">ROUND((I43*(1+$G$5)),2)</f>
        <v>94.93</v>
      </c>
      <c r="G43" s="123">
        <f t="shared" si="6"/>
        <v>1898.6</v>
      </c>
      <c r="I43" s="16">
        <v>72.52</v>
      </c>
      <c r="J43" s="6"/>
    </row>
    <row r="44" spans="1:12" s="4" customFormat="1" ht="15.75" hidden="1" customHeight="1" thickBot="1" x14ac:dyDescent="0.3">
      <c r="A44" s="142"/>
      <c r="B44" s="143"/>
      <c r="C44" s="144"/>
      <c r="D44" s="145"/>
      <c r="E44" s="146"/>
      <c r="F44" s="147" t="s">
        <v>23</v>
      </c>
      <c r="G44" s="148">
        <f>SUM(G40:G43)</f>
        <v>72569.02</v>
      </c>
      <c r="I44" s="5"/>
      <c r="J44" s="5"/>
    </row>
    <row r="45" spans="1:12" s="4" customFormat="1" ht="9" hidden="1" customHeight="1" thickBot="1" x14ac:dyDescent="0.3">
      <c r="A45" s="95"/>
      <c r="B45" s="96"/>
      <c r="C45" s="97"/>
      <c r="D45" s="135"/>
      <c r="E45" s="114"/>
      <c r="F45" s="149"/>
      <c r="G45" s="116"/>
      <c r="I45" s="5"/>
      <c r="J45" s="5"/>
    </row>
    <row r="46" spans="1:12" s="4" customFormat="1" ht="15.75" hidden="1" customHeight="1" thickBot="1" x14ac:dyDescent="0.3">
      <c r="A46" s="251" t="s">
        <v>88</v>
      </c>
      <c r="B46" s="252"/>
      <c r="C46" s="252"/>
      <c r="D46" s="252"/>
      <c r="E46" s="252"/>
      <c r="F46" s="253"/>
      <c r="G46" s="150">
        <f>G33+G38+G44</f>
        <v>78038.98000000001</v>
      </c>
      <c r="I46" s="5"/>
      <c r="J46" s="5"/>
    </row>
    <row r="47" spans="1:12" s="4" customFormat="1" ht="15.75" hidden="1" customHeight="1" thickBot="1" x14ac:dyDescent="0.3">
      <c r="A47" s="95"/>
      <c r="B47" s="96"/>
      <c r="C47" s="97" t="s">
        <v>89</v>
      </c>
      <c r="D47" s="98"/>
      <c r="E47" s="98"/>
      <c r="F47" s="98"/>
      <c r="G47" s="99"/>
      <c r="I47" s="12"/>
    </row>
    <row r="48" spans="1:12" s="4" customFormat="1" ht="15.75" hidden="1" customHeight="1" thickBot="1" x14ac:dyDescent="0.3">
      <c r="A48" s="95">
        <v>1</v>
      </c>
      <c r="B48" s="96"/>
      <c r="C48" s="97" t="s">
        <v>2</v>
      </c>
      <c r="D48" s="98"/>
      <c r="E48" s="98"/>
      <c r="F48" s="98"/>
      <c r="G48" s="99"/>
      <c r="I48" s="12"/>
    </row>
    <row r="49" spans="1:12" s="4" customFormat="1" ht="25.5" hidden="1" customHeight="1" x14ac:dyDescent="0.25">
      <c r="A49" s="100" t="s">
        <v>3</v>
      </c>
      <c r="B49" s="101" t="s">
        <v>81</v>
      </c>
      <c r="C49" s="102" t="s">
        <v>80</v>
      </c>
      <c r="D49" s="103" t="s">
        <v>4</v>
      </c>
      <c r="E49" s="104">
        <v>2.5</v>
      </c>
      <c r="F49" s="105">
        <f>ROUND((I49*(1+$G$5)),2)</f>
        <v>330.33</v>
      </c>
      <c r="G49" s="106">
        <f>ROUND((F49*E49),2)</f>
        <v>825.83</v>
      </c>
      <c r="I49" s="16">
        <v>252.35</v>
      </c>
      <c r="K49" s="247"/>
      <c r="L49" s="248"/>
    </row>
    <row r="50" spans="1:12" s="4" customFormat="1" ht="15.75" hidden="1" customHeight="1" thickBot="1" x14ac:dyDescent="0.3">
      <c r="A50" s="107"/>
      <c r="B50" s="108"/>
      <c r="C50" s="109"/>
      <c r="D50" s="110"/>
      <c r="E50" s="111"/>
      <c r="F50" s="112" t="s">
        <v>24</v>
      </c>
      <c r="G50" s="113">
        <f>SUM(G49)</f>
        <v>825.83</v>
      </c>
      <c r="I50" s="7"/>
      <c r="J50" s="8"/>
      <c r="K50" s="7"/>
      <c r="L50" s="8"/>
    </row>
    <row r="51" spans="1:12" s="4" customFormat="1" ht="15.75" hidden="1" customHeight="1" thickBot="1" x14ac:dyDescent="0.3">
      <c r="A51" s="95">
        <v>2</v>
      </c>
      <c r="B51" s="96"/>
      <c r="C51" s="97" t="s">
        <v>38</v>
      </c>
      <c r="D51" s="98"/>
      <c r="E51" s="114"/>
      <c r="F51" s="115"/>
      <c r="G51" s="116"/>
      <c r="I51" s="5"/>
      <c r="J51" s="5"/>
    </row>
    <row r="52" spans="1:12" s="4" customFormat="1" ht="25.5" hidden="1" customHeight="1" x14ac:dyDescent="0.25">
      <c r="A52" s="117" t="s">
        <v>16</v>
      </c>
      <c r="B52" s="118" t="s">
        <v>28</v>
      </c>
      <c r="C52" s="119" t="s">
        <v>27</v>
      </c>
      <c r="D52" s="120" t="s">
        <v>43</v>
      </c>
      <c r="E52" s="121">
        <v>97.88</v>
      </c>
      <c r="F52" s="122">
        <v>47.99</v>
      </c>
      <c r="G52" s="123">
        <f t="shared" ref="G52:G54" si="8">ROUND((F52*E52),2)</f>
        <v>4697.26</v>
      </c>
      <c r="I52" s="16">
        <v>35.04</v>
      </c>
    </row>
    <row r="53" spans="1:12" s="4" customFormat="1" ht="27.75" hidden="1" customHeight="1" x14ac:dyDescent="0.25">
      <c r="A53" s="117" t="s">
        <v>17</v>
      </c>
      <c r="B53" s="124" t="s">
        <v>65</v>
      </c>
      <c r="C53" s="125" t="s">
        <v>63</v>
      </c>
      <c r="D53" s="126" t="s">
        <v>4</v>
      </c>
      <c r="E53" s="127">
        <v>40.5</v>
      </c>
      <c r="F53" s="122">
        <v>25.11</v>
      </c>
      <c r="G53" s="123">
        <f t="shared" si="8"/>
        <v>1016.96</v>
      </c>
      <c r="I53" s="16">
        <v>18.329999999999998</v>
      </c>
    </row>
    <row r="54" spans="1:12" s="4" customFormat="1" ht="25.5" hidden="1" customHeight="1" x14ac:dyDescent="0.25">
      <c r="A54" s="117" t="s">
        <v>18</v>
      </c>
      <c r="B54" s="124" t="s">
        <v>66</v>
      </c>
      <c r="C54" s="125" t="s">
        <v>64</v>
      </c>
      <c r="D54" s="126" t="s">
        <v>4</v>
      </c>
      <c r="E54" s="127">
        <v>33.75</v>
      </c>
      <c r="F54" s="122">
        <v>40.68</v>
      </c>
      <c r="G54" s="123">
        <f t="shared" si="8"/>
        <v>1372.95</v>
      </c>
      <c r="I54" s="16">
        <v>29.85</v>
      </c>
    </row>
    <row r="55" spans="1:12" s="4" customFormat="1" ht="15.75" hidden="1" customHeight="1" thickBot="1" x14ac:dyDescent="0.3">
      <c r="A55" s="128"/>
      <c r="B55" s="129"/>
      <c r="C55" s="130"/>
      <c r="D55" s="131"/>
      <c r="E55" s="132"/>
      <c r="F55" s="133" t="s">
        <v>22</v>
      </c>
      <c r="G55" s="134">
        <f>SUM(G52:G54)</f>
        <v>7087.17</v>
      </c>
      <c r="I55" s="5"/>
    </row>
    <row r="56" spans="1:12" s="4" customFormat="1" ht="15.75" hidden="1" customHeight="1" thickBot="1" x14ac:dyDescent="0.3">
      <c r="A56" s="95">
        <v>3</v>
      </c>
      <c r="B56" s="96"/>
      <c r="C56" s="97" t="s">
        <v>26</v>
      </c>
      <c r="D56" s="135"/>
      <c r="E56" s="114"/>
      <c r="F56" s="115"/>
      <c r="G56" s="116"/>
      <c r="I56" s="5"/>
      <c r="J56" s="6"/>
    </row>
    <row r="57" spans="1:12" s="4" customFormat="1" ht="38.25" hidden="1" customHeight="1" x14ac:dyDescent="0.25">
      <c r="A57" s="117" t="s">
        <v>5</v>
      </c>
      <c r="B57" s="124" t="s">
        <v>30</v>
      </c>
      <c r="C57" s="125" t="s">
        <v>29</v>
      </c>
      <c r="D57" s="126" t="s">
        <v>4</v>
      </c>
      <c r="E57" s="127">
        <v>81</v>
      </c>
      <c r="F57" s="122">
        <v>67.849999999999994</v>
      </c>
      <c r="G57" s="136">
        <f t="shared" ref="G57:G60" si="9">ROUND((F57*E57),2)</f>
        <v>5495.85</v>
      </c>
      <c r="I57" s="16">
        <v>87.35</v>
      </c>
      <c r="J57" s="6"/>
    </row>
    <row r="58" spans="1:12" s="4" customFormat="1" ht="25.5" hidden="1" customHeight="1" x14ac:dyDescent="0.25">
      <c r="A58" s="117" t="s">
        <v>6</v>
      </c>
      <c r="B58" s="137" t="s">
        <v>32</v>
      </c>
      <c r="C58" s="138" t="s">
        <v>31</v>
      </c>
      <c r="D58" s="126" t="s">
        <v>43</v>
      </c>
      <c r="E58" s="139">
        <v>118.13</v>
      </c>
      <c r="F58" s="122">
        <v>528.6</v>
      </c>
      <c r="G58" s="140">
        <f t="shared" si="9"/>
        <v>62443.519999999997</v>
      </c>
      <c r="I58" s="16">
        <v>381.46</v>
      </c>
      <c r="J58" s="6"/>
    </row>
    <row r="59" spans="1:12" s="4" customFormat="1" ht="25.5" hidden="1" customHeight="1" x14ac:dyDescent="0.25">
      <c r="A59" s="117" t="s">
        <v>7</v>
      </c>
      <c r="B59" s="137" t="s">
        <v>34</v>
      </c>
      <c r="C59" s="138" t="s">
        <v>33</v>
      </c>
      <c r="D59" s="141" t="s">
        <v>67</v>
      </c>
      <c r="E59" s="139">
        <v>100</v>
      </c>
      <c r="F59" s="122">
        <v>63.38</v>
      </c>
      <c r="G59" s="140">
        <f t="shared" si="9"/>
        <v>6338</v>
      </c>
      <c r="I59" s="16">
        <v>45.32</v>
      </c>
      <c r="J59" s="6"/>
    </row>
    <row r="60" spans="1:12" s="4" customFormat="1" ht="25.5" hidden="1" customHeight="1" x14ac:dyDescent="0.25">
      <c r="A60" s="167" t="s">
        <v>39</v>
      </c>
      <c r="B60" s="160" t="s">
        <v>36</v>
      </c>
      <c r="C60" s="168" t="s">
        <v>35</v>
      </c>
      <c r="D60" s="167" t="s">
        <v>43</v>
      </c>
      <c r="E60" s="139">
        <v>33.75</v>
      </c>
      <c r="F60" s="169">
        <f t="shared" ref="F60" si="10">ROUND((I60*(1+$G$5)),2)</f>
        <v>94.93</v>
      </c>
      <c r="G60" s="170">
        <f t="shared" si="9"/>
        <v>3203.89</v>
      </c>
      <c r="I60" s="16">
        <v>72.52</v>
      </c>
      <c r="J60" s="6"/>
    </row>
    <row r="61" spans="1:12" s="4" customFormat="1" ht="15.75" hidden="1" customHeight="1" thickBot="1" x14ac:dyDescent="0.3">
      <c r="A61" s="166"/>
      <c r="B61" s="129"/>
      <c r="C61" s="130"/>
      <c r="D61" s="131"/>
      <c r="E61" s="132"/>
      <c r="F61" s="133" t="s">
        <v>23</v>
      </c>
      <c r="G61" s="134">
        <f>SUM(G57:G60)</f>
        <v>77481.259999999995</v>
      </c>
      <c r="I61" s="5"/>
      <c r="J61" s="5"/>
    </row>
    <row r="62" spans="1:12" s="4" customFormat="1" ht="15.75" hidden="1" customHeight="1" thickBot="1" x14ac:dyDescent="0.3">
      <c r="A62" s="95">
        <v>4</v>
      </c>
      <c r="B62" s="96"/>
      <c r="C62" s="97" t="s">
        <v>41</v>
      </c>
      <c r="D62" s="135"/>
      <c r="E62" s="114"/>
      <c r="F62" s="115"/>
      <c r="G62" s="116"/>
      <c r="I62" s="5"/>
      <c r="J62" s="5"/>
    </row>
    <row r="63" spans="1:12" s="4" customFormat="1" ht="51" hidden="1" customHeight="1" x14ac:dyDescent="0.25">
      <c r="A63" s="117" t="s">
        <v>49</v>
      </c>
      <c r="B63" s="124" t="s">
        <v>78</v>
      </c>
      <c r="C63" s="125" t="s">
        <v>79</v>
      </c>
      <c r="D63" s="126" t="s">
        <v>4</v>
      </c>
      <c r="E63" s="127">
        <v>51.94</v>
      </c>
      <c r="F63" s="122">
        <v>82.19</v>
      </c>
      <c r="G63" s="140">
        <f t="shared" ref="G63:G66" si="11">ROUND((F63*E63),2)</f>
        <v>4268.95</v>
      </c>
      <c r="I63" s="16">
        <v>108.58</v>
      </c>
      <c r="J63" s="5"/>
    </row>
    <row r="64" spans="1:12" s="4" customFormat="1" ht="25.5" hidden="1" customHeight="1" x14ac:dyDescent="0.25">
      <c r="A64" s="117" t="s">
        <v>50</v>
      </c>
      <c r="B64" s="124" t="s">
        <v>47</v>
      </c>
      <c r="C64" s="125" t="s">
        <v>44</v>
      </c>
      <c r="D64" s="126" t="s">
        <v>53</v>
      </c>
      <c r="E64" s="127">
        <v>1194.2</v>
      </c>
      <c r="F64" s="122">
        <v>8.3000000000000007</v>
      </c>
      <c r="G64" s="123">
        <f t="shared" si="11"/>
        <v>9911.86</v>
      </c>
      <c r="I64" s="16">
        <v>6.69</v>
      </c>
      <c r="J64" s="5"/>
    </row>
    <row r="65" spans="1:12" s="4" customFormat="1" ht="25.5" hidden="1" customHeight="1" x14ac:dyDescent="0.25">
      <c r="A65" s="117" t="s">
        <v>51</v>
      </c>
      <c r="B65" s="124" t="s">
        <v>48</v>
      </c>
      <c r="C65" s="125" t="s">
        <v>45</v>
      </c>
      <c r="D65" s="126" t="s">
        <v>53</v>
      </c>
      <c r="E65" s="127">
        <v>120</v>
      </c>
      <c r="F65" s="122">
        <v>8.44</v>
      </c>
      <c r="G65" s="123">
        <f t="shared" si="11"/>
        <v>1012.8</v>
      </c>
      <c r="I65" s="16">
        <v>6.73</v>
      </c>
      <c r="J65" s="5"/>
    </row>
    <row r="66" spans="1:12" s="4" customFormat="1" ht="26.25" hidden="1" customHeight="1" thickBot="1" x14ac:dyDescent="0.3">
      <c r="A66" s="117" t="s">
        <v>51</v>
      </c>
      <c r="B66" s="124" t="s">
        <v>73</v>
      </c>
      <c r="C66" s="125" t="s">
        <v>72</v>
      </c>
      <c r="D66" s="126" t="s">
        <v>43</v>
      </c>
      <c r="E66" s="127">
        <v>17.27</v>
      </c>
      <c r="F66" s="122">
        <v>656.32</v>
      </c>
      <c r="G66" s="123">
        <f t="shared" si="11"/>
        <v>11334.65</v>
      </c>
      <c r="I66" s="16">
        <v>477.75</v>
      </c>
      <c r="J66" s="5"/>
    </row>
    <row r="67" spans="1:12" s="4" customFormat="1" ht="15.75" hidden="1" customHeight="1" thickBot="1" x14ac:dyDescent="0.3">
      <c r="A67" s="142"/>
      <c r="B67" s="143"/>
      <c r="C67" s="144"/>
      <c r="D67" s="145"/>
      <c r="E67" s="146"/>
      <c r="F67" s="147" t="s">
        <v>74</v>
      </c>
      <c r="G67" s="148">
        <f>SUM(G63:G66)</f>
        <v>26528.260000000002</v>
      </c>
      <c r="I67" s="5"/>
      <c r="J67" s="5"/>
    </row>
    <row r="68" spans="1:12" s="4" customFormat="1" ht="9" hidden="1" customHeight="1" thickBot="1" x14ac:dyDescent="0.3">
      <c r="A68" s="95"/>
      <c r="B68" s="96"/>
      <c r="C68" s="97"/>
      <c r="D68" s="135"/>
      <c r="E68" s="114"/>
      <c r="F68" s="149"/>
      <c r="G68" s="116"/>
      <c r="I68" s="5"/>
      <c r="J68" s="5"/>
    </row>
    <row r="69" spans="1:12" s="4" customFormat="1" ht="15.75" hidden="1" customHeight="1" thickBot="1" x14ac:dyDescent="0.3">
      <c r="A69" s="251" t="s">
        <v>92</v>
      </c>
      <c r="B69" s="252"/>
      <c r="C69" s="252"/>
      <c r="D69" s="252"/>
      <c r="E69" s="252"/>
      <c r="F69" s="253"/>
      <c r="G69" s="150">
        <f>G50+G55+G61+G67</f>
        <v>111922.51999999999</v>
      </c>
      <c r="I69" s="5"/>
      <c r="J69" s="5"/>
    </row>
    <row r="70" spans="1:12" s="4" customFormat="1" ht="15.75" hidden="1" customHeight="1" thickBot="1" x14ac:dyDescent="0.3">
      <c r="A70" s="95"/>
      <c r="B70" s="96"/>
      <c r="C70" s="97" t="s">
        <v>90</v>
      </c>
      <c r="D70" s="98"/>
      <c r="E70" s="98"/>
      <c r="F70" s="98"/>
      <c r="G70" s="99"/>
      <c r="I70" s="12"/>
    </row>
    <row r="71" spans="1:12" s="4" customFormat="1" ht="15.75" hidden="1" customHeight="1" thickBot="1" x14ac:dyDescent="0.3">
      <c r="A71" s="95">
        <v>1</v>
      </c>
      <c r="B71" s="96"/>
      <c r="C71" s="97" t="s">
        <v>2</v>
      </c>
      <c r="D71" s="98"/>
      <c r="E71" s="98"/>
      <c r="F71" s="98"/>
      <c r="G71" s="99"/>
      <c r="I71" s="12"/>
    </row>
    <row r="72" spans="1:12" s="4" customFormat="1" ht="25.5" hidden="1" customHeight="1" x14ac:dyDescent="0.25">
      <c r="A72" s="100" t="s">
        <v>3</v>
      </c>
      <c r="B72" s="101" t="s">
        <v>81</v>
      </c>
      <c r="C72" s="102" t="s">
        <v>80</v>
      </c>
      <c r="D72" s="103" t="s">
        <v>4</v>
      </c>
      <c r="E72" s="104">
        <v>2.5</v>
      </c>
      <c r="F72" s="105">
        <f>ROUND((I72*(1+$G$5)),2)</f>
        <v>330.33</v>
      </c>
      <c r="G72" s="106">
        <f>ROUND((F72*E72),2)</f>
        <v>825.83</v>
      </c>
      <c r="I72" s="16">
        <v>252.35</v>
      </c>
      <c r="K72" s="247"/>
      <c r="L72" s="248"/>
    </row>
    <row r="73" spans="1:12" s="4" customFormat="1" ht="15.75" hidden="1" customHeight="1" thickBot="1" x14ac:dyDescent="0.3">
      <c r="A73" s="107"/>
      <c r="B73" s="108"/>
      <c r="C73" s="109"/>
      <c r="D73" s="110"/>
      <c r="E73" s="111"/>
      <c r="F73" s="112" t="s">
        <v>24</v>
      </c>
      <c r="G73" s="113">
        <f>SUM(G72)</f>
        <v>825.83</v>
      </c>
      <c r="I73" s="13"/>
      <c r="J73" s="8"/>
      <c r="K73" s="7"/>
      <c r="L73" s="8"/>
    </row>
    <row r="74" spans="1:12" s="4" customFormat="1" ht="15.75" hidden="1" customHeight="1" thickBot="1" x14ac:dyDescent="0.3">
      <c r="A74" s="95">
        <v>2</v>
      </c>
      <c r="B74" s="96"/>
      <c r="C74" s="97" t="s">
        <v>38</v>
      </c>
      <c r="D74" s="98"/>
      <c r="E74" s="114"/>
      <c r="F74" s="115"/>
      <c r="G74" s="116"/>
      <c r="I74" s="13"/>
      <c r="J74" s="5"/>
    </row>
    <row r="75" spans="1:12" s="4" customFormat="1" ht="25.5" hidden="1" customHeight="1" x14ac:dyDescent="0.25">
      <c r="A75" s="117" t="s">
        <v>16</v>
      </c>
      <c r="B75" s="118" t="s">
        <v>28</v>
      </c>
      <c r="C75" s="119" t="s">
        <v>27</v>
      </c>
      <c r="D75" s="120" t="s">
        <v>43</v>
      </c>
      <c r="E75" s="121">
        <v>62.5</v>
      </c>
      <c r="F75" s="122">
        <v>47.99</v>
      </c>
      <c r="G75" s="123">
        <f t="shared" ref="G75:G77" si="12">ROUND((F75*E75),2)</f>
        <v>2999.38</v>
      </c>
      <c r="I75" s="16">
        <v>35.04</v>
      </c>
    </row>
    <row r="76" spans="1:12" s="4" customFormat="1" ht="27" hidden="1" customHeight="1" x14ac:dyDescent="0.25">
      <c r="A76" s="117" t="s">
        <v>17</v>
      </c>
      <c r="B76" s="124" t="s">
        <v>65</v>
      </c>
      <c r="C76" s="125" t="s">
        <v>63</v>
      </c>
      <c r="D76" s="126" t="s">
        <v>4</v>
      </c>
      <c r="E76" s="127">
        <v>5</v>
      </c>
      <c r="F76" s="122">
        <v>25.11</v>
      </c>
      <c r="G76" s="123">
        <f t="shared" si="12"/>
        <v>125.55</v>
      </c>
      <c r="I76" s="16">
        <v>18.329999999999998</v>
      </c>
    </row>
    <row r="77" spans="1:12" s="4" customFormat="1" ht="25.5" hidden="1" customHeight="1" x14ac:dyDescent="0.25">
      <c r="A77" s="117" t="s">
        <v>18</v>
      </c>
      <c r="B77" s="124" t="s">
        <v>66</v>
      </c>
      <c r="C77" s="125" t="s">
        <v>64</v>
      </c>
      <c r="D77" s="126" t="s">
        <v>4</v>
      </c>
      <c r="E77" s="127">
        <v>45</v>
      </c>
      <c r="F77" s="122">
        <v>40.68</v>
      </c>
      <c r="G77" s="123">
        <f t="shared" si="12"/>
        <v>1830.6</v>
      </c>
      <c r="I77" s="16">
        <v>29.85</v>
      </c>
    </row>
    <row r="78" spans="1:12" s="4" customFormat="1" ht="15.75" hidden="1" customHeight="1" thickBot="1" x14ac:dyDescent="0.3">
      <c r="A78" s="128"/>
      <c r="B78" s="129"/>
      <c r="C78" s="130"/>
      <c r="D78" s="131"/>
      <c r="E78" s="132"/>
      <c r="F78" s="133" t="s">
        <v>22</v>
      </c>
      <c r="G78" s="134">
        <f>SUM(G75:G77)</f>
        <v>4955.5300000000007</v>
      </c>
      <c r="I78" s="13"/>
    </row>
    <row r="79" spans="1:12" s="4" customFormat="1" ht="15.75" hidden="1" customHeight="1" thickBot="1" x14ac:dyDescent="0.3">
      <c r="A79" s="95">
        <v>3</v>
      </c>
      <c r="B79" s="96"/>
      <c r="C79" s="97" t="s">
        <v>26</v>
      </c>
      <c r="D79" s="135"/>
      <c r="E79" s="114"/>
      <c r="F79" s="115"/>
      <c r="G79" s="116"/>
      <c r="I79" s="13"/>
      <c r="J79" s="6"/>
    </row>
    <row r="80" spans="1:12" s="4" customFormat="1" ht="38.25" hidden="1" customHeight="1" x14ac:dyDescent="0.25">
      <c r="A80" s="117" t="s">
        <v>5</v>
      </c>
      <c r="B80" s="124" t="s">
        <v>30</v>
      </c>
      <c r="C80" s="125" t="s">
        <v>29</v>
      </c>
      <c r="D80" s="126" t="s">
        <v>4</v>
      </c>
      <c r="E80" s="127">
        <v>150</v>
      </c>
      <c r="F80" s="122">
        <v>67.849999999999994</v>
      </c>
      <c r="G80" s="136">
        <f t="shared" ref="G80:G83" si="13">ROUND((F80*E80),2)</f>
        <v>10177.5</v>
      </c>
      <c r="I80" s="16">
        <v>87.35</v>
      </c>
      <c r="J80" s="6"/>
    </row>
    <row r="81" spans="1:12" s="4" customFormat="1" ht="25.5" hidden="1" customHeight="1" x14ac:dyDescent="0.25">
      <c r="A81" s="117" t="s">
        <v>6</v>
      </c>
      <c r="B81" s="137" t="s">
        <v>32</v>
      </c>
      <c r="C81" s="138" t="s">
        <v>31</v>
      </c>
      <c r="D81" s="126" t="s">
        <v>43</v>
      </c>
      <c r="E81" s="139">
        <v>135</v>
      </c>
      <c r="F81" s="122">
        <v>528.6</v>
      </c>
      <c r="G81" s="140">
        <f t="shared" si="13"/>
        <v>71361</v>
      </c>
      <c r="I81" s="16">
        <v>381.46</v>
      </c>
      <c r="J81" s="6"/>
    </row>
    <row r="82" spans="1:12" s="4" customFormat="1" ht="25.5" hidden="1" customHeight="1" x14ac:dyDescent="0.25">
      <c r="A82" s="117" t="s">
        <v>7</v>
      </c>
      <c r="B82" s="137" t="s">
        <v>34</v>
      </c>
      <c r="C82" s="138" t="s">
        <v>33</v>
      </c>
      <c r="D82" s="141" t="s">
        <v>67</v>
      </c>
      <c r="E82" s="139">
        <v>150</v>
      </c>
      <c r="F82" s="122">
        <v>63.38</v>
      </c>
      <c r="G82" s="140">
        <f t="shared" si="13"/>
        <v>9507</v>
      </c>
      <c r="I82" s="16">
        <v>45.32</v>
      </c>
      <c r="J82" s="6"/>
    </row>
    <row r="83" spans="1:12" s="4" customFormat="1" ht="26.25" hidden="1" customHeight="1" thickBot="1" x14ac:dyDescent="0.3">
      <c r="A83" s="117" t="s">
        <v>39</v>
      </c>
      <c r="B83" s="124" t="s">
        <v>36</v>
      </c>
      <c r="C83" s="125" t="s">
        <v>35</v>
      </c>
      <c r="D83" s="126" t="s">
        <v>43</v>
      </c>
      <c r="E83" s="127">
        <v>37.5</v>
      </c>
      <c r="F83" s="122">
        <f>ROUND((I83*(1+$G$5)),2)</f>
        <v>94.93</v>
      </c>
      <c r="G83" s="123">
        <f t="shared" si="13"/>
        <v>3559.88</v>
      </c>
      <c r="I83" s="16">
        <v>72.52</v>
      </c>
      <c r="J83" s="6"/>
    </row>
    <row r="84" spans="1:12" s="4" customFormat="1" ht="15.75" hidden="1" customHeight="1" thickBot="1" x14ac:dyDescent="0.3">
      <c r="A84" s="142"/>
      <c r="B84" s="143"/>
      <c r="C84" s="144"/>
      <c r="D84" s="145"/>
      <c r="E84" s="146"/>
      <c r="F84" s="147" t="s">
        <v>23</v>
      </c>
      <c r="G84" s="148">
        <f>SUM(G80:G83)</f>
        <v>94605.38</v>
      </c>
      <c r="I84" s="13"/>
      <c r="J84" s="5"/>
    </row>
    <row r="85" spans="1:12" s="4" customFormat="1" ht="9" hidden="1" customHeight="1" thickBot="1" x14ac:dyDescent="0.3">
      <c r="A85" s="95"/>
      <c r="B85" s="96"/>
      <c r="C85" s="97"/>
      <c r="D85" s="135"/>
      <c r="E85" s="114"/>
      <c r="F85" s="149"/>
      <c r="G85" s="116"/>
      <c r="I85" s="14"/>
      <c r="J85" s="5"/>
    </row>
    <row r="86" spans="1:12" s="4" customFormat="1" ht="15.75" hidden="1" customHeight="1" thickBot="1" x14ac:dyDescent="0.3">
      <c r="A86" s="251" t="s">
        <v>93</v>
      </c>
      <c r="B86" s="252"/>
      <c r="C86" s="252"/>
      <c r="D86" s="252"/>
      <c r="E86" s="252"/>
      <c r="F86" s="253"/>
      <c r="G86" s="150">
        <f>G73+G78+G84</f>
        <v>100386.74</v>
      </c>
      <c r="I86" s="14"/>
      <c r="J86" s="5"/>
    </row>
    <row r="87" spans="1:12" s="4" customFormat="1" ht="15.75" thickBot="1" x14ac:dyDescent="0.3">
      <c r="A87" s="95"/>
      <c r="B87" s="96"/>
      <c r="C87" s="97"/>
      <c r="D87" s="98"/>
      <c r="E87" s="98"/>
      <c r="F87" s="98"/>
      <c r="G87" s="99"/>
      <c r="I87" s="12"/>
    </row>
    <row r="88" spans="1:12" s="4" customFormat="1" ht="15.75" thickBot="1" x14ac:dyDescent="0.3">
      <c r="A88" s="95">
        <v>1</v>
      </c>
      <c r="B88" s="96"/>
      <c r="C88" s="97" t="s">
        <v>2</v>
      </c>
      <c r="D88" s="98"/>
      <c r="E88" s="98"/>
      <c r="F88" s="98"/>
      <c r="G88" s="99"/>
      <c r="I88" s="12"/>
    </row>
    <row r="89" spans="1:12" s="4" customFormat="1" ht="25.5" x14ac:dyDescent="0.25">
      <c r="A89" s="100" t="s">
        <v>3</v>
      </c>
      <c r="B89" s="101" t="s">
        <v>81</v>
      </c>
      <c r="C89" s="102" t="s">
        <v>80</v>
      </c>
      <c r="D89" s="103" t="s">
        <v>4</v>
      </c>
      <c r="E89" s="104">
        <v>2.5</v>
      </c>
      <c r="F89" s="105">
        <f>ROUND((I89*(1+$G$5)),2)</f>
        <v>330.33</v>
      </c>
      <c r="G89" s="106">
        <f>ROUND((F89*E89),2)</f>
        <v>825.83</v>
      </c>
      <c r="I89" s="16">
        <v>252.35</v>
      </c>
      <c r="K89" s="247"/>
      <c r="L89" s="248"/>
    </row>
    <row r="90" spans="1:12" s="4" customFormat="1" ht="15.75" thickBot="1" x14ac:dyDescent="0.3">
      <c r="A90" s="107"/>
      <c r="B90" s="108"/>
      <c r="C90" s="109"/>
      <c r="D90" s="110"/>
      <c r="E90" s="111"/>
      <c r="F90" s="112" t="s">
        <v>24</v>
      </c>
      <c r="G90" s="113">
        <f>SUM(G89)</f>
        <v>825.83</v>
      </c>
      <c r="I90" s="13"/>
      <c r="J90" s="8"/>
      <c r="K90" s="7"/>
      <c r="L90" s="8"/>
    </row>
    <row r="91" spans="1:12" s="4" customFormat="1" ht="15.75" thickBot="1" x14ac:dyDescent="0.3">
      <c r="A91" s="95">
        <v>2</v>
      </c>
      <c r="B91" s="96"/>
      <c r="C91" s="97" t="s">
        <v>38</v>
      </c>
      <c r="D91" s="98"/>
      <c r="E91" s="114"/>
      <c r="F91" s="115"/>
      <c r="G91" s="116"/>
      <c r="I91" s="13"/>
      <c r="J91" s="5"/>
    </row>
    <row r="92" spans="1:12" s="4" customFormat="1" ht="25.5" x14ac:dyDescent="0.25">
      <c r="A92" s="117" t="s">
        <v>16</v>
      </c>
      <c r="B92" s="118" t="s">
        <v>28</v>
      </c>
      <c r="C92" s="119" t="s">
        <v>27</v>
      </c>
      <c r="D92" s="120" t="s">
        <v>43</v>
      </c>
      <c r="E92" s="121">
        <v>248</v>
      </c>
      <c r="F92" s="122">
        <v>47.99</v>
      </c>
      <c r="G92" s="123">
        <f t="shared" ref="G92:G94" si="14">ROUND((F92*E92),2)</f>
        <v>11901.52</v>
      </c>
      <c r="I92" s="16">
        <v>35.04</v>
      </c>
    </row>
    <row r="93" spans="1:12" s="4" customFormat="1" ht="27.75" customHeight="1" x14ac:dyDescent="0.25">
      <c r="A93" s="117" t="s">
        <v>17</v>
      </c>
      <c r="B93" s="124" t="s">
        <v>65</v>
      </c>
      <c r="C93" s="125" t="s">
        <v>63</v>
      </c>
      <c r="D93" s="126" t="s">
        <v>4</v>
      </c>
      <c r="E93" s="127">
        <v>123</v>
      </c>
      <c r="F93" s="122">
        <v>25.11</v>
      </c>
      <c r="G93" s="123">
        <f t="shared" si="14"/>
        <v>3088.53</v>
      </c>
      <c r="I93" s="16">
        <v>18.329999999999998</v>
      </c>
    </row>
    <row r="94" spans="1:12" s="4" customFormat="1" ht="25.5" x14ac:dyDescent="0.25">
      <c r="A94" s="117" t="s">
        <v>18</v>
      </c>
      <c r="B94" s="124" t="s">
        <v>66</v>
      </c>
      <c r="C94" s="125" t="s">
        <v>64</v>
      </c>
      <c r="D94" s="126" t="s">
        <v>4</v>
      </c>
      <c r="E94" s="127">
        <v>102</v>
      </c>
      <c r="F94" s="122">
        <v>40.68</v>
      </c>
      <c r="G94" s="123">
        <f t="shared" si="14"/>
        <v>4149.3599999999997</v>
      </c>
      <c r="I94" s="16">
        <v>29.85</v>
      </c>
    </row>
    <row r="95" spans="1:12" s="4" customFormat="1" ht="15.75" thickBot="1" x14ac:dyDescent="0.3">
      <c r="A95" s="128"/>
      <c r="B95" s="129"/>
      <c r="C95" s="130"/>
      <c r="D95" s="131"/>
      <c r="E95" s="132"/>
      <c r="F95" s="133" t="s">
        <v>22</v>
      </c>
      <c r="G95" s="134">
        <f>SUM(G92:G94)</f>
        <v>19139.41</v>
      </c>
      <c r="I95" s="13"/>
    </row>
    <row r="96" spans="1:12" s="4" customFormat="1" ht="15.75" thickBot="1" x14ac:dyDescent="0.3">
      <c r="A96" s="95">
        <v>3</v>
      </c>
      <c r="B96" s="96"/>
      <c r="C96" s="97" t="s">
        <v>26</v>
      </c>
      <c r="D96" s="135"/>
      <c r="E96" s="114"/>
      <c r="F96" s="115"/>
      <c r="G96" s="116"/>
      <c r="I96" s="13"/>
      <c r="J96" s="6"/>
    </row>
    <row r="97" spans="1:10" s="4" customFormat="1" ht="25.5" x14ac:dyDescent="0.25">
      <c r="A97" s="117" t="s">
        <v>5</v>
      </c>
      <c r="B97" s="124" t="s">
        <v>30</v>
      </c>
      <c r="C97" s="125"/>
      <c r="D97" s="126" t="s">
        <v>4</v>
      </c>
      <c r="E97" s="127">
        <v>307.5</v>
      </c>
      <c r="F97" s="122">
        <v>67.849999999999994</v>
      </c>
      <c r="G97" s="136">
        <f t="shared" ref="G97:G100" si="15">ROUND((F97*E97),2)</f>
        <v>20863.88</v>
      </c>
      <c r="I97" s="16">
        <v>87.35</v>
      </c>
      <c r="J97" s="6"/>
    </row>
    <row r="98" spans="1:10" s="4" customFormat="1" ht="25.5" x14ac:dyDescent="0.25">
      <c r="A98" s="117" t="s">
        <v>6</v>
      </c>
      <c r="B98" s="137" t="s">
        <v>32</v>
      </c>
      <c r="C98" s="138" t="s">
        <v>31</v>
      </c>
      <c r="D98" s="126" t="s">
        <v>43</v>
      </c>
      <c r="E98" s="139">
        <v>205</v>
      </c>
      <c r="F98" s="122">
        <v>528.6</v>
      </c>
      <c r="G98" s="140">
        <f t="shared" si="15"/>
        <v>108363</v>
      </c>
      <c r="I98" s="16">
        <v>381.46</v>
      </c>
      <c r="J98" s="6"/>
    </row>
    <row r="99" spans="1:10" s="4" customFormat="1" ht="25.5" x14ac:dyDescent="0.25">
      <c r="A99" s="117" t="s">
        <v>7</v>
      </c>
      <c r="B99" s="137" t="s">
        <v>34</v>
      </c>
      <c r="C99" s="138" t="s">
        <v>33</v>
      </c>
      <c r="D99" s="141" t="s">
        <v>67</v>
      </c>
      <c r="E99" s="139">
        <v>260</v>
      </c>
      <c r="F99" s="122">
        <v>63.38</v>
      </c>
      <c r="G99" s="140">
        <f t="shared" si="15"/>
        <v>16478.8</v>
      </c>
      <c r="I99" s="16">
        <v>45.32</v>
      </c>
      <c r="J99" s="6"/>
    </row>
    <row r="100" spans="1:10" s="4" customFormat="1" ht="26.25" thickBot="1" x14ac:dyDescent="0.3">
      <c r="A100" s="117" t="s">
        <v>39</v>
      </c>
      <c r="B100" s="124" t="s">
        <v>36</v>
      </c>
      <c r="C100" s="125" t="s">
        <v>35</v>
      </c>
      <c r="D100" s="126" t="s">
        <v>43</v>
      </c>
      <c r="E100" s="127">
        <v>76.88</v>
      </c>
      <c r="F100" s="122">
        <f>ROUND((I100*(1+$G$5)),2)</f>
        <v>94.93</v>
      </c>
      <c r="G100" s="123">
        <f t="shared" si="15"/>
        <v>7298.22</v>
      </c>
      <c r="I100" s="16">
        <v>72.52</v>
      </c>
      <c r="J100" s="6"/>
    </row>
    <row r="101" spans="1:10" s="4" customFormat="1" ht="15.75" thickBot="1" x14ac:dyDescent="0.3">
      <c r="A101" s="142"/>
      <c r="B101" s="143"/>
      <c r="C101" s="144"/>
      <c r="D101" s="145"/>
      <c r="E101" s="146"/>
      <c r="F101" s="147" t="s">
        <v>23</v>
      </c>
      <c r="G101" s="148">
        <f>SUM(G97:G100)</f>
        <v>153003.9</v>
      </c>
      <c r="I101" s="13"/>
      <c r="J101" s="5"/>
    </row>
    <row r="102" spans="1:10" s="4" customFormat="1" ht="9" customHeight="1" thickBot="1" x14ac:dyDescent="0.3">
      <c r="A102" s="95"/>
      <c r="B102" s="96"/>
      <c r="C102" s="97"/>
      <c r="D102" s="135"/>
      <c r="E102" s="114"/>
      <c r="F102" s="149"/>
      <c r="G102" s="116"/>
      <c r="I102" s="14"/>
      <c r="J102" s="5"/>
    </row>
    <row r="103" spans="1:10" s="4" customFormat="1" ht="15.75" thickBot="1" x14ac:dyDescent="0.3">
      <c r="A103" s="251" t="s">
        <v>159</v>
      </c>
      <c r="B103" s="252"/>
      <c r="C103" s="252"/>
      <c r="D103" s="252"/>
      <c r="E103" s="252"/>
      <c r="F103" s="253"/>
      <c r="G103" s="150">
        <f>G90+G95+G101</f>
        <v>172969.13999999998</v>
      </c>
      <c r="I103" s="14"/>
      <c r="J103" s="5"/>
    </row>
    <row r="104" spans="1:10" s="4" customFormat="1" ht="15.75" thickBot="1" x14ac:dyDescent="0.3">
      <c r="A104" s="218">
        <v>43551</v>
      </c>
      <c r="B104" s="219"/>
      <c r="C104" s="220"/>
      <c r="D104" s="216" t="s">
        <v>13</v>
      </c>
      <c r="E104" s="217"/>
      <c r="F104" s="254">
        <v>172969.14</v>
      </c>
      <c r="G104" s="255"/>
      <c r="I104" s="14"/>
      <c r="J104" s="5"/>
    </row>
    <row r="105" spans="1:10" s="4" customFormat="1" x14ac:dyDescent="0.25">
      <c r="A105" s="151"/>
      <c r="B105" s="152"/>
      <c r="C105" s="249" t="s">
        <v>20</v>
      </c>
      <c r="D105" s="249" t="s">
        <v>19</v>
      </c>
      <c r="E105" s="249"/>
      <c r="F105" s="249"/>
      <c r="G105" s="250"/>
      <c r="H105"/>
      <c r="I105" s="15"/>
      <c r="J105" s="5"/>
    </row>
    <row r="106" spans="1:10" s="4" customFormat="1" ht="20.25" customHeight="1" x14ac:dyDescent="0.25">
      <c r="A106" s="151"/>
      <c r="B106" s="153"/>
      <c r="C106" s="243"/>
      <c r="D106" s="243"/>
      <c r="E106" s="243"/>
      <c r="F106" s="243"/>
      <c r="G106" s="244"/>
      <c r="H106"/>
      <c r="I106" s="15"/>
      <c r="J106" s="5"/>
    </row>
    <row r="107" spans="1:10" s="4" customFormat="1" x14ac:dyDescent="0.25">
      <c r="A107" s="151"/>
      <c r="B107" s="153"/>
      <c r="C107" s="154" t="s">
        <v>152</v>
      </c>
      <c r="D107" s="243" t="s">
        <v>158</v>
      </c>
      <c r="E107" s="243"/>
      <c r="F107" s="243"/>
      <c r="G107" s="244"/>
      <c r="H107"/>
      <c r="I107" s="15"/>
      <c r="J107" s="5">
        <f>F104</f>
        <v>172969.14</v>
      </c>
    </row>
    <row r="108" spans="1:10" s="4" customFormat="1" ht="21.75" customHeight="1" thickBot="1" x14ac:dyDescent="0.3">
      <c r="A108" s="155"/>
      <c r="B108" s="156"/>
      <c r="C108" s="157" t="s">
        <v>153</v>
      </c>
      <c r="D108" s="245" t="s">
        <v>14</v>
      </c>
      <c r="E108" s="245"/>
      <c r="F108" s="245"/>
      <c r="G108" s="246"/>
      <c r="H108"/>
      <c r="I108" s="15"/>
      <c r="J108" s="5"/>
    </row>
    <row r="109" spans="1:10" s="4" customFormat="1" x14ac:dyDescent="0.25">
      <c r="A109"/>
      <c r="B109" s="2"/>
      <c r="C109"/>
      <c r="D109"/>
      <c r="E109"/>
      <c r="F109"/>
      <c r="G109" s="1"/>
      <c r="H109"/>
      <c r="I109" s="15"/>
      <c r="J109" s="3"/>
    </row>
    <row r="110" spans="1:10" s="4" customFormat="1" ht="28.5" customHeight="1" x14ac:dyDescent="0.25">
      <c r="A110"/>
      <c r="B110" s="2"/>
      <c r="C110"/>
      <c r="D110"/>
      <c r="E110"/>
      <c r="F110"/>
      <c r="G110" s="1"/>
      <c r="H110"/>
      <c r="I110" s="15"/>
      <c r="J110"/>
    </row>
    <row r="111" spans="1:10" s="4" customFormat="1" x14ac:dyDescent="0.25">
      <c r="A111"/>
      <c r="B111" s="2"/>
      <c r="C111"/>
      <c r="D111"/>
      <c r="E111"/>
      <c r="F111"/>
      <c r="G111" s="1"/>
      <c r="H111"/>
      <c r="I111" s="15"/>
      <c r="J111"/>
    </row>
    <row r="112" spans="1:10" s="4" customFormat="1" x14ac:dyDescent="0.25">
      <c r="A112"/>
      <c r="B112" s="2"/>
      <c r="C112"/>
      <c r="D112"/>
      <c r="E112"/>
      <c r="F112"/>
      <c r="G112" s="1"/>
      <c r="H112"/>
      <c r="I112" s="15"/>
      <c r="J112"/>
    </row>
    <row r="113" spans="1:12" s="4" customFormat="1" ht="17.25" customHeight="1" x14ac:dyDescent="0.25">
      <c r="A113"/>
      <c r="B113" s="2"/>
      <c r="C113"/>
      <c r="D113"/>
      <c r="E113"/>
      <c r="F113"/>
      <c r="G113" s="1"/>
      <c r="H113"/>
      <c r="I113" s="15"/>
      <c r="J113"/>
      <c r="K113"/>
      <c r="L113"/>
    </row>
    <row r="114" spans="1:12" s="4" customFormat="1" ht="19.5" customHeight="1" x14ac:dyDescent="0.25">
      <c r="A114"/>
      <c r="B114" s="2"/>
      <c r="C114"/>
      <c r="D114"/>
      <c r="E114"/>
      <c r="F114"/>
      <c r="G114" s="1"/>
      <c r="H114"/>
      <c r="I114" s="15"/>
      <c r="J114"/>
      <c r="K114"/>
      <c r="L114"/>
    </row>
    <row r="115" spans="1:12" s="4" customFormat="1" x14ac:dyDescent="0.25">
      <c r="A115"/>
      <c r="B115" s="2"/>
      <c r="C115"/>
      <c r="D115"/>
      <c r="E115"/>
      <c r="F115"/>
      <c r="G115" s="1"/>
      <c r="H115"/>
      <c r="I115" s="15"/>
      <c r="J115"/>
      <c r="K115"/>
      <c r="L115"/>
    </row>
    <row r="116" spans="1:12" s="4" customFormat="1" ht="29.25" customHeight="1" x14ac:dyDescent="0.25">
      <c r="A116"/>
      <c r="B116" s="2"/>
      <c r="C116"/>
      <c r="D116"/>
      <c r="E116"/>
      <c r="F116"/>
      <c r="G116" s="1"/>
      <c r="H116"/>
      <c r="I116" s="15"/>
      <c r="J116"/>
      <c r="K116"/>
      <c r="L116"/>
    </row>
    <row r="117" spans="1:12" s="4" customFormat="1" x14ac:dyDescent="0.25">
      <c r="A117"/>
      <c r="B117" s="2"/>
      <c r="C117"/>
      <c r="D117"/>
      <c r="E117"/>
      <c r="F117"/>
      <c r="G117" s="1"/>
      <c r="H117"/>
      <c r="I117" s="15"/>
      <c r="J117"/>
      <c r="K117"/>
      <c r="L117"/>
    </row>
    <row r="118" spans="1:12" s="4" customFormat="1" x14ac:dyDescent="0.25">
      <c r="A118"/>
      <c r="B118" s="2"/>
      <c r="C118"/>
      <c r="D118"/>
      <c r="E118"/>
      <c r="F118"/>
      <c r="G118" s="1"/>
      <c r="H118"/>
      <c r="I118" s="15"/>
      <c r="J118"/>
      <c r="K118"/>
      <c r="L118"/>
    </row>
    <row r="119" spans="1:12" s="4" customFormat="1" x14ac:dyDescent="0.25">
      <c r="A119"/>
      <c r="B119" s="2"/>
      <c r="C119"/>
      <c r="D119"/>
      <c r="E119"/>
      <c r="F119"/>
      <c r="G119" s="1"/>
      <c r="H119"/>
      <c r="I119" s="15"/>
      <c r="J119"/>
      <c r="K119"/>
      <c r="L119"/>
    </row>
  </sheetData>
  <mergeCells count="23">
    <mergeCell ref="D107:G107"/>
    <mergeCell ref="D108:G108"/>
    <mergeCell ref="K9:L9"/>
    <mergeCell ref="C105:C106"/>
    <mergeCell ref="D105:G106"/>
    <mergeCell ref="A29:F29"/>
    <mergeCell ref="K32:L32"/>
    <mergeCell ref="I34:J34"/>
    <mergeCell ref="A46:F46"/>
    <mergeCell ref="K49:L49"/>
    <mergeCell ref="A69:F69"/>
    <mergeCell ref="K72:L72"/>
    <mergeCell ref="A86:F86"/>
    <mergeCell ref="K89:L89"/>
    <mergeCell ref="A103:F103"/>
    <mergeCell ref="F104:G104"/>
    <mergeCell ref="D104:E104"/>
    <mergeCell ref="A104:C104"/>
    <mergeCell ref="A1:B5"/>
    <mergeCell ref="C1:G1"/>
    <mergeCell ref="D2:G4"/>
    <mergeCell ref="C3:C4"/>
    <mergeCell ref="D5:F5"/>
  </mergeCells>
  <pageMargins left="0.7" right="0.7" top="0.75" bottom="0.75" header="0.3" footer="0.3"/>
  <pageSetup paperSize="9" scale="59" fitToHeight="0" orientation="portrait" r:id="rId1"/>
  <rowBreaks count="1" manualBreakCount="1">
    <brk id="59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1"/>
  <sheetViews>
    <sheetView view="pageBreakPreview" topLeftCell="A321" zoomScale="95" zoomScaleNormal="90" zoomScaleSheetLayoutView="95" workbookViewId="0">
      <selection activeCell="A320" sqref="A7:XFD320"/>
    </sheetView>
  </sheetViews>
  <sheetFormatPr defaultRowHeight="15" x14ac:dyDescent="0.25"/>
  <cols>
    <col min="1" max="1" width="5.140625" style="215" bestFit="1" customWidth="1"/>
    <col min="2" max="2" width="12.42578125" style="207" customWidth="1"/>
    <col min="3" max="3" width="56.42578125" style="204" customWidth="1"/>
    <col min="4" max="5" width="6.7109375" style="204" customWidth="1"/>
    <col min="6" max="8" width="7.5703125" style="204" customWidth="1"/>
    <col min="9" max="9" width="16.7109375" style="208" customWidth="1"/>
    <col min="10" max="10" width="9.7109375" style="204" customWidth="1"/>
    <col min="11" max="16384" width="9.140625" style="204"/>
  </cols>
  <sheetData>
    <row r="1" spans="1:12" s="209" customFormat="1" ht="16.5" customHeight="1" x14ac:dyDescent="0.25">
      <c r="A1" s="260"/>
      <c r="B1" s="261"/>
      <c r="C1" s="264" t="s">
        <v>8</v>
      </c>
      <c r="D1" s="264"/>
      <c r="E1" s="264"/>
      <c r="F1" s="264"/>
      <c r="G1" s="264"/>
      <c r="H1" s="264"/>
      <c r="I1" s="264"/>
    </row>
    <row r="2" spans="1:12" s="164" customFormat="1" ht="13.5" customHeight="1" x14ac:dyDescent="0.25">
      <c r="A2" s="262"/>
      <c r="B2" s="263"/>
      <c r="C2" s="171" t="s">
        <v>83</v>
      </c>
      <c r="D2" s="265" t="s">
        <v>76</v>
      </c>
      <c r="E2" s="265"/>
      <c r="F2" s="265"/>
      <c r="G2" s="265"/>
      <c r="H2" s="265"/>
      <c r="I2" s="265"/>
    </row>
    <row r="3" spans="1:12" s="164" customFormat="1" ht="15" customHeight="1" x14ac:dyDescent="0.25">
      <c r="A3" s="262"/>
      <c r="B3" s="263"/>
      <c r="C3" s="265" t="s">
        <v>84</v>
      </c>
      <c r="D3" s="172"/>
      <c r="E3" s="172"/>
      <c r="F3" s="172"/>
      <c r="G3" s="172"/>
      <c r="H3" s="172"/>
      <c r="I3" s="172"/>
    </row>
    <row r="4" spans="1:12" s="164" customFormat="1" ht="12" customHeight="1" x14ac:dyDescent="0.25">
      <c r="A4" s="262"/>
      <c r="B4" s="263"/>
      <c r="C4" s="265"/>
      <c r="D4" s="172"/>
      <c r="E4" s="172"/>
      <c r="F4" s="172"/>
      <c r="G4" s="172"/>
      <c r="H4" s="172"/>
      <c r="I4" s="172"/>
    </row>
    <row r="5" spans="1:12" s="164" customFormat="1" ht="15.75" customHeight="1" x14ac:dyDescent="0.25">
      <c r="A5" s="262"/>
      <c r="B5" s="263"/>
      <c r="C5" s="173" t="s">
        <v>82</v>
      </c>
      <c r="D5" s="172" t="s">
        <v>15</v>
      </c>
      <c r="E5" s="172"/>
      <c r="F5" s="172"/>
      <c r="G5" s="172"/>
      <c r="H5" s="172"/>
      <c r="I5" s="174">
        <v>0.309</v>
      </c>
      <c r="K5" s="164" t="str">
        <f>C3</f>
        <v>OBRA/SERVIÇO: MURO DE ARRIMO 01, 02, 03, 04 e 05 no Bairro Alto Niteroi.</v>
      </c>
    </row>
    <row r="6" spans="1:12" s="164" customFormat="1" ht="38.25" x14ac:dyDescent="0.25">
      <c r="A6" s="210" t="s">
        <v>0</v>
      </c>
      <c r="B6" s="175" t="s">
        <v>25</v>
      </c>
      <c r="C6" s="175" t="s">
        <v>9</v>
      </c>
      <c r="D6" s="175" t="s">
        <v>10</v>
      </c>
      <c r="E6" s="176" t="s">
        <v>1</v>
      </c>
      <c r="F6" s="177" t="s">
        <v>11</v>
      </c>
      <c r="G6" s="177"/>
      <c r="H6" s="177"/>
      <c r="I6" s="176" t="s">
        <v>12</v>
      </c>
      <c r="K6" s="164" t="str">
        <f>C5</f>
        <v>LOCAL: ALTO NITERÓI,  ATÍLIO VIVÁCQUA-ES</v>
      </c>
    </row>
    <row r="7" spans="1:12" s="164" customFormat="1" hidden="1" x14ac:dyDescent="0.25">
      <c r="A7" s="211"/>
      <c r="B7" s="178"/>
      <c r="C7" s="179" t="s">
        <v>85</v>
      </c>
      <c r="D7" s="180"/>
      <c r="E7" s="180"/>
      <c r="F7" s="180"/>
      <c r="G7" s="180"/>
      <c r="H7" s="180"/>
      <c r="I7" s="181"/>
    </row>
    <row r="8" spans="1:12" s="164" customFormat="1" hidden="1" x14ac:dyDescent="0.25">
      <c r="A8" s="211">
        <v>1</v>
      </c>
      <c r="B8" s="178"/>
      <c r="C8" s="179" t="s">
        <v>2</v>
      </c>
      <c r="D8" s="180"/>
      <c r="E8" s="180"/>
      <c r="F8" s="180"/>
      <c r="G8" s="180"/>
      <c r="H8" s="180"/>
      <c r="I8" s="181"/>
    </row>
    <row r="9" spans="1:12" s="164" customFormat="1" ht="25.5" hidden="1" x14ac:dyDescent="0.25">
      <c r="A9" s="212" t="s">
        <v>3</v>
      </c>
      <c r="B9" s="160" t="s">
        <v>81</v>
      </c>
      <c r="C9" s="182" t="s">
        <v>80</v>
      </c>
      <c r="D9" s="167"/>
      <c r="F9" s="162" t="s">
        <v>107</v>
      </c>
      <c r="G9" s="162" t="s">
        <v>109</v>
      </c>
      <c r="H9" s="162" t="s">
        <v>125</v>
      </c>
      <c r="I9" s="183" t="s">
        <v>147</v>
      </c>
      <c r="K9" s="256"/>
      <c r="L9" s="257"/>
    </row>
    <row r="10" spans="1:12" s="164" customFormat="1" hidden="1" x14ac:dyDescent="0.25">
      <c r="A10" s="213"/>
      <c r="B10" s="184"/>
      <c r="C10" s="161" t="s">
        <v>151</v>
      </c>
      <c r="D10" s="167"/>
      <c r="E10" s="185"/>
      <c r="F10" s="186">
        <v>2</v>
      </c>
      <c r="G10" s="186">
        <v>1.25</v>
      </c>
      <c r="H10" s="186">
        <f>F10*G10</f>
        <v>2.5</v>
      </c>
      <c r="I10" s="170" t="s">
        <v>43</v>
      </c>
      <c r="K10" s="187"/>
      <c r="L10" s="188"/>
    </row>
    <row r="11" spans="1:12" s="164" customFormat="1" ht="12" hidden="1" customHeight="1" x14ac:dyDescent="0.25">
      <c r="A11" s="213"/>
      <c r="B11" s="184"/>
      <c r="C11" s="182"/>
      <c r="D11" s="167"/>
      <c r="E11" s="185"/>
      <c r="F11" s="186"/>
      <c r="G11" s="186"/>
      <c r="H11" s="186"/>
      <c r="I11" s="170"/>
      <c r="K11" s="187"/>
      <c r="L11" s="188"/>
    </row>
    <row r="12" spans="1:12" s="164" customFormat="1" hidden="1" x14ac:dyDescent="0.25">
      <c r="A12" s="211">
        <v>2</v>
      </c>
      <c r="B12" s="178"/>
      <c r="C12" s="179" t="s">
        <v>38</v>
      </c>
      <c r="D12" s="180"/>
      <c r="E12" s="189"/>
      <c r="F12" s="190"/>
      <c r="G12" s="190"/>
      <c r="H12" s="190"/>
      <c r="I12" s="190"/>
    </row>
    <row r="13" spans="1:12" s="164" customFormat="1" ht="25.5" hidden="1" x14ac:dyDescent="0.25">
      <c r="A13" s="212" t="s">
        <v>16</v>
      </c>
      <c r="B13" s="160" t="s">
        <v>28</v>
      </c>
      <c r="C13" s="161" t="s">
        <v>27</v>
      </c>
      <c r="D13" s="162" t="s">
        <v>107</v>
      </c>
      <c r="E13" s="163" t="s">
        <v>109</v>
      </c>
      <c r="F13" s="191" t="s">
        <v>108</v>
      </c>
      <c r="G13" s="191" t="s">
        <v>124</v>
      </c>
      <c r="H13" s="191" t="s">
        <v>147</v>
      </c>
      <c r="I13" s="170"/>
    </row>
    <row r="14" spans="1:12" s="164" customFormat="1" hidden="1" x14ac:dyDescent="0.25">
      <c r="A14" s="212"/>
      <c r="B14" s="160"/>
      <c r="C14" s="161" t="s">
        <v>85</v>
      </c>
      <c r="D14" s="186">
        <v>19</v>
      </c>
      <c r="E14" s="186">
        <v>2</v>
      </c>
      <c r="F14" s="186">
        <v>0.5</v>
      </c>
      <c r="G14" s="186">
        <f>D14*E14*F14</f>
        <v>19</v>
      </c>
      <c r="H14" s="192" t="s">
        <v>43</v>
      </c>
      <c r="I14" s="186"/>
    </row>
    <row r="15" spans="1:12" s="164" customFormat="1" hidden="1" x14ac:dyDescent="0.25">
      <c r="A15" s="212"/>
      <c r="B15" s="160"/>
      <c r="C15" s="161"/>
      <c r="D15" s="186">
        <v>19</v>
      </c>
      <c r="E15" s="186">
        <v>1</v>
      </c>
      <c r="F15" s="186">
        <v>4</v>
      </c>
      <c r="G15" s="186">
        <f>D15*E15*F15</f>
        <v>76</v>
      </c>
      <c r="H15" s="192" t="s">
        <v>43</v>
      </c>
      <c r="I15" s="186"/>
    </row>
    <row r="16" spans="1:12" s="164" customFormat="1" hidden="1" x14ac:dyDescent="0.25">
      <c r="A16" s="212"/>
      <c r="B16" s="160"/>
      <c r="C16" s="161" t="s">
        <v>110</v>
      </c>
      <c r="D16" s="186"/>
      <c r="E16" s="186"/>
      <c r="F16" s="186"/>
      <c r="G16" s="186">
        <f>SUM(G14:G15)</f>
        <v>95</v>
      </c>
      <c r="H16" s="192" t="s">
        <v>43</v>
      </c>
      <c r="I16" s="186"/>
    </row>
    <row r="17" spans="1:9" s="164" customFormat="1" hidden="1" x14ac:dyDescent="0.25">
      <c r="A17" s="212"/>
      <c r="B17" s="160"/>
      <c r="C17" s="161"/>
      <c r="D17" s="186"/>
      <c r="E17" s="186"/>
      <c r="F17" s="186"/>
      <c r="G17" s="186"/>
      <c r="H17" s="186"/>
      <c r="I17" s="186"/>
    </row>
    <row r="18" spans="1:9" s="164" customFormat="1" ht="26.25" hidden="1" customHeight="1" x14ac:dyDescent="0.25">
      <c r="A18" s="212" t="s">
        <v>17</v>
      </c>
      <c r="B18" s="160" t="s">
        <v>65</v>
      </c>
      <c r="C18" s="168" t="s">
        <v>63</v>
      </c>
      <c r="D18" s="167"/>
      <c r="E18" s="139"/>
      <c r="F18" s="169"/>
      <c r="G18" s="169"/>
      <c r="H18" s="169"/>
      <c r="I18" s="170"/>
    </row>
    <row r="19" spans="1:9" s="164" customFormat="1" hidden="1" x14ac:dyDescent="0.25">
      <c r="A19" s="212"/>
      <c r="B19" s="160"/>
      <c r="C19" s="161" t="s">
        <v>85</v>
      </c>
      <c r="D19" s="186">
        <v>19</v>
      </c>
      <c r="E19" s="186">
        <v>0.3</v>
      </c>
      <c r="F19" s="186">
        <v>0.5</v>
      </c>
      <c r="G19" s="186">
        <f>F19*E19*D19</f>
        <v>2.85</v>
      </c>
      <c r="H19" s="192" t="s">
        <v>43</v>
      </c>
      <c r="I19" s="186"/>
    </row>
    <row r="20" spans="1:9" s="164" customFormat="1" hidden="1" x14ac:dyDescent="0.25">
      <c r="A20" s="212"/>
      <c r="B20" s="160"/>
      <c r="C20" s="161"/>
      <c r="D20" s="186">
        <v>19</v>
      </c>
      <c r="E20" s="186">
        <v>1</v>
      </c>
      <c r="F20" s="186">
        <v>0.5</v>
      </c>
      <c r="G20" s="186">
        <f>F20*E20*D20</f>
        <v>9.5</v>
      </c>
      <c r="H20" s="192" t="s">
        <v>43</v>
      </c>
      <c r="I20" s="186"/>
    </row>
    <row r="21" spans="1:9" s="164" customFormat="1" hidden="1" x14ac:dyDescent="0.25">
      <c r="A21" s="212"/>
      <c r="B21" s="160"/>
      <c r="C21" s="161" t="s">
        <v>110</v>
      </c>
      <c r="D21" s="186"/>
      <c r="E21" s="186"/>
      <c r="F21" s="186"/>
      <c r="G21" s="186">
        <f>SUM(G19:G20)</f>
        <v>12.35</v>
      </c>
      <c r="H21" s="192" t="s">
        <v>43</v>
      </c>
      <c r="I21" s="186"/>
    </row>
    <row r="22" spans="1:9" s="164" customFormat="1" hidden="1" x14ac:dyDescent="0.25">
      <c r="A22" s="212"/>
      <c r="B22" s="160"/>
      <c r="C22" s="161"/>
      <c r="D22" s="186"/>
      <c r="E22" s="186"/>
      <c r="F22" s="186"/>
      <c r="G22" s="186"/>
      <c r="H22" s="186"/>
      <c r="I22" s="186"/>
    </row>
    <row r="23" spans="1:9" s="164" customFormat="1" ht="25.5" hidden="1" x14ac:dyDescent="0.25">
      <c r="A23" s="212" t="s">
        <v>18</v>
      </c>
      <c r="B23" s="160" t="s">
        <v>66</v>
      </c>
      <c r="C23" s="168" t="s">
        <v>64</v>
      </c>
      <c r="D23" s="162"/>
      <c r="E23" s="163" t="s">
        <v>107</v>
      </c>
      <c r="F23" s="191" t="s">
        <v>109</v>
      </c>
      <c r="G23" s="191" t="s">
        <v>125</v>
      </c>
      <c r="H23" s="191" t="s">
        <v>147</v>
      </c>
      <c r="I23" s="170"/>
    </row>
    <row r="24" spans="1:9" s="164" customFormat="1" hidden="1" x14ac:dyDescent="0.25">
      <c r="A24" s="212"/>
      <c r="B24" s="160"/>
      <c r="C24" s="161" t="s">
        <v>85</v>
      </c>
      <c r="D24" s="186"/>
      <c r="E24" s="186">
        <v>19</v>
      </c>
      <c r="F24" s="186">
        <v>2</v>
      </c>
      <c r="G24" s="186">
        <f>F24*E24</f>
        <v>38</v>
      </c>
      <c r="H24" s="192" t="s">
        <v>4</v>
      </c>
      <c r="I24" s="186"/>
    </row>
    <row r="25" spans="1:9" s="164" customFormat="1" hidden="1" x14ac:dyDescent="0.25">
      <c r="A25" s="212"/>
      <c r="B25" s="160"/>
      <c r="C25" s="161" t="s">
        <v>110</v>
      </c>
      <c r="D25" s="186"/>
      <c r="E25" s="186"/>
      <c r="F25" s="186"/>
      <c r="G25" s="186"/>
      <c r="H25" s="186"/>
      <c r="I25" s="186"/>
    </row>
    <row r="26" spans="1:9" s="164" customFormat="1" hidden="1" x14ac:dyDescent="0.25">
      <c r="A26" s="212"/>
      <c r="B26" s="160"/>
      <c r="C26" s="161"/>
      <c r="D26" s="186"/>
      <c r="E26" s="186"/>
      <c r="F26" s="186"/>
      <c r="G26" s="186"/>
      <c r="H26" s="186"/>
      <c r="I26" s="186"/>
    </row>
    <row r="27" spans="1:9" s="164" customFormat="1" hidden="1" x14ac:dyDescent="0.25">
      <c r="A27" s="266"/>
      <c r="B27" s="267"/>
      <c r="C27" s="267"/>
      <c r="D27" s="267"/>
      <c r="E27" s="267"/>
      <c r="F27" s="267"/>
      <c r="G27" s="267"/>
      <c r="H27" s="267"/>
      <c r="I27" s="267"/>
    </row>
    <row r="28" spans="1:9" s="164" customFormat="1" hidden="1" x14ac:dyDescent="0.25">
      <c r="A28" s="211">
        <v>3</v>
      </c>
      <c r="B28" s="178"/>
      <c r="C28" s="179" t="s">
        <v>26</v>
      </c>
      <c r="D28" s="193"/>
      <c r="E28" s="189"/>
      <c r="F28" s="190"/>
      <c r="G28" s="190"/>
      <c r="H28" s="190"/>
      <c r="I28" s="190"/>
    </row>
    <row r="29" spans="1:9" s="164" customFormat="1" ht="38.25" hidden="1" x14ac:dyDescent="0.25">
      <c r="A29" s="212" t="s">
        <v>5</v>
      </c>
      <c r="B29" s="160" t="s">
        <v>30</v>
      </c>
      <c r="C29" s="168" t="s">
        <v>29</v>
      </c>
      <c r="D29" s="162" t="s">
        <v>107</v>
      </c>
      <c r="E29" s="194" t="s">
        <v>108</v>
      </c>
      <c r="F29" s="191" t="s">
        <v>111</v>
      </c>
      <c r="G29" s="191" t="s">
        <v>125</v>
      </c>
      <c r="H29" s="191" t="s">
        <v>147</v>
      </c>
      <c r="I29" s="170"/>
    </row>
    <row r="30" spans="1:9" s="164" customFormat="1" hidden="1" x14ac:dyDescent="0.25">
      <c r="A30" s="212"/>
      <c r="B30" s="160"/>
      <c r="C30" s="161" t="s">
        <v>85</v>
      </c>
      <c r="D30" s="186">
        <v>19</v>
      </c>
      <c r="E30" s="186">
        <v>4</v>
      </c>
      <c r="F30" s="186">
        <v>2</v>
      </c>
      <c r="G30" s="186">
        <f>D30*E30*F30</f>
        <v>152</v>
      </c>
      <c r="H30" s="192" t="s">
        <v>4</v>
      </c>
      <c r="I30" s="186"/>
    </row>
    <row r="31" spans="1:9" s="164" customFormat="1" hidden="1" x14ac:dyDescent="0.25">
      <c r="A31" s="212"/>
      <c r="B31" s="160"/>
      <c r="C31" s="161" t="s">
        <v>110</v>
      </c>
      <c r="D31" s="186"/>
      <c r="E31" s="186"/>
      <c r="F31" s="186"/>
      <c r="G31" s="186"/>
      <c r="H31" s="186"/>
      <c r="I31" s="186"/>
    </row>
    <row r="32" spans="1:9" s="164" customFormat="1" hidden="1" x14ac:dyDescent="0.25">
      <c r="A32" s="212"/>
      <c r="B32" s="160"/>
      <c r="C32" s="161"/>
      <c r="D32" s="186"/>
      <c r="E32" s="186"/>
      <c r="F32" s="186"/>
      <c r="G32" s="186"/>
      <c r="H32" s="186"/>
      <c r="I32" s="186"/>
    </row>
    <row r="33" spans="1:9" s="164" customFormat="1" ht="25.5" hidden="1" x14ac:dyDescent="0.25">
      <c r="A33" s="212" t="s">
        <v>6</v>
      </c>
      <c r="B33" s="137" t="s">
        <v>32</v>
      </c>
      <c r="C33" s="138" t="s">
        <v>31</v>
      </c>
      <c r="D33" s="162" t="s">
        <v>107</v>
      </c>
      <c r="E33" s="163" t="s">
        <v>109</v>
      </c>
      <c r="F33" s="191" t="s">
        <v>108</v>
      </c>
      <c r="G33" s="191" t="s">
        <v>124</v>
      </c>
      <c r="H33" s="191" t="s">
        <v>147</v>
      </c>
      <c r="I33" s="169"/>
    </row>
    <row r="34" spans="1:9" s="164" customFormat="1" hidden="1" x14ac:dyDescent="0.25">
      <c r="A34" s="212"/>
      <c r="B34" s="137"/>
      <c r="C34" s="161" t="s">
        <v>85</v>
      </c>
      <c r="D34" s="186">
        <v>19</v>
      </c>
      <c r="E34" s="186">
        <v>2</v>
      </c>
      <c r="F34" s="186">
        <v>0.5</v>
      </c>
      <c r="G34" s="186">
        <f>D34*F34*E34</f>
        <v>19</v>
      </c>
      <c r="H34" s="169" t="s">
        <v>4</v>
      </c>
      <c r="I34" s="186"/>
    </row>
    <row r="35" spans="1:9" s="164" customFormat="1" hidden="1" x14ac:dyDescent="0.25">
      <c r="A35" s="212"/>
      <c r="B35" s="137"/>
      <c r="D35" s="186">
        <v>19</v>
      </c>
      <c r="E35" s="186">
        <v>1</v>
      </c>
      <c r="F35" s="186">
        <v>4</v>
      </c>
      <c r="G35" s="186">
        <f>D35*F35*E35</f>
        <v>76</v>
      </c>
      <c r="H35" s="169" t="s">
        <v>4</v>
      </c>
      <c r="I35" s="186"/>
    </row>
    <row r="36" spans="1:9" s="164" customFormat="1" hidden="1" x14ac:dyDescent="0.25">
      <c r="A36" s="212"/>
      <c r="B36" s="137"/>
      <c r="C36" s="161" t="s">
        <v>110</v>
      </c>
      <c r="D36" s="167"/>
      <c r="E36" s="139"/>
      <c r="F36" s="169"/>
      <c r="G36" s="186">
        <f>SUM(G34:G35)</f>
        <v>95</v>
      </c>
      <c r="H36" s="169" t="s">
        <v>4</v>
      </c>
      <c r="I36" s="186"/>
    </row>
    <row r="37" spans="1:9" s="164" customFormat="1" hidden="1" x14ac:dyDescent="0.25">
      <c r="A37" s="212"/>
      <c r="B37" s="137"/>
      <c r="C37" s="138"/>
      <c r="D37" s="167"/>
      <c r="E37" s="139"/>
      <c r="F37" s="169"/>
      <c r="G37" s="169"/>
      <c r="H37" s="169"/>
      <c r="I37" s="169"/>
    </row>
    <row r="38" spans="1:9" s="164" customFormat="1" ht="25.5" hidden="1" x14ac:dyDescent="0.25">
      <c r="A38" s="212" t="s">
        <v>7</v>
      </c>
      <c r="B38" s="137" t="s">
        <v>34</v>
      </c>
      <c r="C38" s="138" t="s">
        <v>33</v>
      </c>
      <c r="D38" s="141"/>
      <c r="E38" s="139"/>
      <c r="F38" s="139"/>
      <c r="G38" s="162" t="s">
        <v>107</v>
      </c>
      <c r="H38" s="191" t="s">
        <v>147</v>
      </c>
      <c r="I38" s="169"/>
    </row>
    <row r="39" spans="1:9" s="164" customFormat="1" hidden="1" x14ac:dyDescent="0.25">
      <c r="A39" s="212"/>
      <c r="B39" s="137"/>
      <c r="C39" s="138" t="s">
        <v>140</v>
      </c>
      <c r="D39" s="141"/>
      <c r="E39" s="139"/>
      <c r="F39" s="139"/>
      <c r="G39" s="185">
        <f>19*3*1.8</f>
        <v>102.60000000000001</v>
      </c>
      <c r="H39" s="169" t="s">
        <v>67</v>
      </c>
      <c r="I39" s="169"/>
    </row>
    <row r="40" spans="1:9" s="164" customFormat="1" hidden="1" x14ac:dyDescent="0.25">
      <c r="A40" s="212"/>
      <c r="B40" s="137"/>
      <c r="C40" s="138" t="s">
        <v>141</v>
      </c>
      <c r="D40" s="141"/>
      <c r="E40" s="139"/>
      <c r="F40" s="139"/>
      <c r="G40" s="185">
        <f>19*0.5</f>
        <v>9.5</v>
      </c>
      <c r="H40" s="169" t="s">
        <v>67</v>
      </c>
      <c r="I40" s="169"/>
    </row>
    <row r="41" spans="1:9" s="164" customFormat="1" hidden="1" x14ac:dyDescent="0.25">
      <c r="A41" s="212"/>
      <c r="B41" s="137"/>
      <c r="C41" s="138"/>
      <c r="D41" s="141"/>
      <c r="E41" s="139"/>
      <c r="F41" s="139"/>
      <c r="G41" s="185">
        <f>SUM(G39:G40)</f>
        <v>112.10000000000001</v>
      </c>
      <c r="H41" s="169" t="s">
        <v>67</v>
      </c>
      <c r="I41" s="169"/>
    </row>
    <row r="42" spans="1:9" s="164" customFormat="1" hidden="1" x14ac:dyDescent="0.25">
      <c r="A42" s="212"/>
      <c r="B42" s="137"/>
      <c r="C42" s="138"/>
      <c r="D42" s="141"/>
      <c r="E42" s="139"/>
      <c r="F42" s="139"/>
      <c r="G42" s="169"/>
      <c r="H42" s="169"/>
      <c r="I42" s="169"/>
    </row>
    <row r="43" spans="1:9" s="164" customFormat="1" ht="25.5" hidden="1" x14ac:dyDescent="0.25">
      <c r="A43" s="212" t="s">
        <v>39</v>
      </c>
      <c r="B43" s="160" t="s">
        <v>36</v>
      </c>
      <c r="C43" s="168" t="s">
        <v>35</v>
      </c>
      <c r="D43" s="162" t="s">
        <v>107</v>
      </c>
      <c r="E43" s="163" t="s">
        <v>109</v>
      </c>
      <c r="F43" s="191" t="s">
        <v>108</v>
      </c>
      <c r="G43" s="191" t="s">
        <v>124</v>
      </c>
      <c r="H43" s="191" t="s">
        <v>147</v>
      </c>
      <c r="I43" s="170"/>
    </row>
    <row r="44" spans="1:9" s="164" customFormat="1" hidden="1" x14ac:dyDescent="0.25">
      <c r="A44" s="212"/>
      <c r="B44" s="137"/>
      <c r="C44" s="138" t="s">
        <v>85</v>
      </c>
      <c r="D44" s="158">
        <v>19</v>
      </c>
      <c r="E44" s="158">
        <v>0.4</v>
      </c>
      <c r="F44" s="158">
        <v>4</v>
      </c>
      <c r="G44" s="158">
        <f>F44*E44*D44</f>
        <v>30.400000000000002</v>
      </c>
      <c r="H44" s="169" t="s">
        <v>43</v>
      </c>
      <c r="I44" s="158"/>
    </row>
    <row r="45" spans="1:9" s="164" customFormat="1" hidden="1" x14ac:dyDescent="0.25">
      <c r="A45" s="212"/>
      <c r="B45" s="137"/>
      <c r="C45" s="138"/>
      <c r="D45" s="141"/>
      <c r="E45" s="139"/>
      <c r="F45" s="186"/>
      <c r="G45" s="186"/>
      <c r="H45" s="186"/>
      <c r="I45" s="169"/>
    </row>
    <row r="46" spans="1:9" s="164" customFormat="1" hidden="1" x14ac:dyDescent="0.25">
      <c r="A46" s="212"/>
      <c r="B46" s="137"/>
      <c r="C46" s="138"/>
      <c r="D46" s="141"/>
      <c r="E46" s="139"/>
      <c r="F46" s="186"/>
      <c r="G46" s="186"/>
      <c r="H46" s="186"/>
      <c r="I46" s="169"/>
    </row>
    <row r="47" spans="1:9" s="164" customFormat="1" hidden="1" x14ac:dyDescent="0.25">
      <c r="A47" s="211">
        <v>4</v>
      </c>
      <c r="B47" s="178"/>
      <c r="C47" s="179" t="s">
        <v>40</v>
      </c>
      <c r="D47" s="193"/>
      <c r="E47" s="189"/>
      <c r="F47" s="190"/>
      <c r="G47" s="190"/>
      <c r="H47" s="190"/>
      <c r="I47" s="190"/>
    </row>
    <row r="48" spans="1:9" s="164" customFormat="1" ht="25.5" hidden="1" x14ac:dyDescent="0.25">
      <c r="A48" s="212" t="s">
        <v>49</v>
      </c>
      <c r="B48" s="160" t="s">
        <v>46</v>
      </c>
      <c r="C48" s="168" t="s">
        <v>42</v>
      </c>
      <c r="D48" s="162" t="s">
        <v>107</v>
      </c>
      <c r="E48" s="163" t="s">
        <v>109</v>
      </c>
      <c r="F48" s="191" t="s">
        <v>108</v>
      </c>
      <c r="G48" s="191" t="s">
        <v>114</v>
      </c>
      <c r="H48" s="191"/>
      <c r="I48" s="169"/>
    </row>
    <row r="49" spans="1:9" s="164" customFormat="1" hidden="1" x14ac:dyDescent="0.25">
      <c r="A49" s="212"/>
      <c r="B49" s="160"/>
      <c r="C49" s="168" t="s">
        <v>112</v>
      </c>
      <c r="D49" s="158">
        <v>0.2</v>
      </c>
      <c r="E49" s="158">
        <v>0.1</v>
      </c>
      <c r="F49" s="158">
        <v>1</v>
      </c>
      <c r="G49" s="158">
        <v>7</v>
      </c>
      <c r="H49" s="158">
        <f>(D49*E49*F49*G49)</f>
        <v>0.14000000000000001</v>
      </c>
      <c r="I49" s="158"/>
    </row>
    <row r="50" spans="1:9" s="164" customFormat="1" hidden="1" x14ac:dyDescent="0.25">
      <c r="A50" s="212"/>
      <c r="B50" s="160"/>
      <c r="C50" s="168" t="s">
        <v>113</v>
      </c>
      <c r="D50" s="158">
        <v>19</v>
      </c>
      <c r="E50" s="158">
        <v>0.1</v>
      </c>
      <c r="F50" s="158">
        <v>0.2</v>
      </c>
      <c r="G50" s="158">
        <v>1</v>
      </c>
      <c r="H50" s="158">
        <f>(D50*E50*F50*G50)</f>
        <v>0.38000000000000006</v>
      </c>
      <c r="I50" s="158"/>
    </row>
    <row r="51" spans="1:9" s="164" customFormat="1" hidden="1" x14ac:dyDescent="0.25">
      <c r="A51" s="212"/>
      <c r="B51" s="160"/>
      <c r="C51" s="168" t="s">
        <v>115</v>
      </c>
      <c r="D51" s="167"/>
      <c r="E51" s="139"/>
      <c r="F51" s="169"/>
      <c r="G51" s="169"/>
      <c r="H51" s="158">
        <f>SUM(H49:H50)</f>
        <v>0.52</v>
      </c>
      <c r="I51" s="158"/>
    </row>
    <row r="52" spans="1:9" s="164" customFormat="1" hidden="1" x14ac:dyDescent="0.25">
      <c r="A52" s="212"/>
      <c r="B52" s="160"/>
      <c r="C52" s="168"/>
      <c r="D52" s="167"/>
      <c r="E52" s="139"/>
      <c r="F52" s="169"/>
      <c r="G52" s="169"/>
      <c r="H52" s="169"/>
      <c r="I52" s="169"/>
    </row>
    <row r="53" spans="1:9" s="164" customFormat="1" ht="25.5" hidden="1" x14ac:dyDescent="0.25">
      <c r="A53" s="212" t="s">
        <v>50</v>
      </c>
      <c r="B53" s="160" t="s">
        <v>47</v>
      </c>
      <c r="C53" s="168" t="s">
        <v>44</v>
      </c>
      <c r="D53" s="162" t="s">
        <v>107</v>
      </c>
      <c r="E53" s="163" t="s">
        <v>109</v>
      </c>
      <c r="F53" s="191" t="s">
        <v>108</v>
      </c>
      <c r="G53" s="191" t="s">
        <v>114</v>
      </c>
      <c r="H53" s="191"/>
      <c r="I53" s="169"/>
    </row>
    <row r="54" spans="1:9" s="164" customFormat="1" hidden="1" x14ac:dyDescent="0.25">
      <c r="A54" s="212"/>
      <c r="B54" s="160"/>
      <c r="C54" s="168" t="s">
        <v>112</v>
      </c>
      <c r="D54" s="158">
        <v>1</v>
      </c>
      <c r="E54" s="158">
        <v>0.1</v>
      </c>
      <c r="F54" s="158">
        <v>0.2</v>
      </c>
      <c r="G54" s="158">
        <v>7</v>
      </c>
      <c r="H54" s="158">
        <f>(D54/0.2)*(E54*2+F54*2+0.1)*G54*0.12</f>
        <v>2.9400000000000004</v>
      </c>
      <c r="I54" s="158"/>
    </row>
    <row r="55" spans="1:9" s="164" customFormat="1" hidden="1" x14ac:dyDescent="0.25">
      <c r="A55" s="212"/>
      <c r="B55" s="160"/>
      <c r="C55" s="168" t="s">
        <v>113</v>
      </c>
      <c r="D55" s="158">
        <v>19</v>
      </c>
      <c r="E55" s="158">
        <v>0.1</v>
      </c>
      <c r="F55" s="158">
        <v>0.2</v>
      </c>
      <c r="G55" s="158">
        <v>1</v>
      </c>
      <c r="H55" s="158">
        <f>(D55/0.2)*(E55*2+F55*2+0.1)*0.12</f>
        <v>7.9799999999999995</v>
      </c>
      <c r="I55" s="158"/>
    </row>
    <row r="56" spans="1:9" s="164" customFormat="1" hidden="1" x14ac:dyDescent="0.25">
      <c r="A56" s="212"/>
      <c r="B56" s="160"/>
      <c r="C56" s="168"/>
      <c r="D56" s="167"/>
      <c r="E56" s="139"/>
      <c r="F56" s="169"/>
      <c r="G56" s="169"/>
      <c r="H56" s="158">
        <f>SUM(H54:H55)</f>
        <v>10.92</v>
      </c>
      <c r="I56" s="159" t="s">
        <v>116</v>
      </c>
    </row>
    <row r="57" spans="1:9" s="164" customFormat="1" hidden="1" x14ac:dyDescent="0.25">
      <c r="A57" s="212"/>
      <c r="B57" s="160"/>
      <c r="C57" s="168"/>
      <c r="D57" s="167"/>
      <c r="E57" s="139"/>
      <c r="F57" s="169"/>
      <c r="G57" s="169"/>
      <c r="H57" s="169"/>
      <c r="I57" s="169"/>
    </row>
    <row r="58" spans="1:9" s="164" customFormat="1" ht="25.5" hidden="1" x14ac:dyDescent="0.25">
      <c r="A58" s="212" t="s">
        <v>51</v>
      </c>
      <c r="B58" s="160" t="s">
        <v>48</v>
      </c>
      <c r="C58" s="168" t="s">
        <v>45</v>
      </c>
      <c r="D58" s="162" t="s">
        <v>107</v>
      </c>
      <c r="E58" s="163" t="s">
        <v>109</v>
      </c>
      <c r="F58" s="191"/>
      <c r="G58" s="191" t="s">
        <v>114</v>
      </c>
      <c r="H58" s="169"/>
      <c r="I58" s="169"/>
    </row>
    <row r="59" spans="1:9" s="164" customFormat="1" hidden="1" x14ac:dyDescent="0.25">
      <c r="A59" s="212"/>
      <c r="B59" s="160"/>
      <c r="C59" s="168" t="s">
        <v>112</v>
      </c>
      <c r="D59" s="158">
        <v>1</v>
      </c>
      <c r="E59" s="158">
        <v>4</v>
      </c>
      <c r="F59" s="158"/>
      <c r="G59" s="158">
        <v>7</v>
      </c>
      <c r="H59" s="158">
        <f>(D59*E59*G59)</f>
        <v>28</v>
      </c>
      <c r="I59" s="158"/>
    </row>
    <row r="60" spans="1:9" s="164" customFormat="1" hidden="1" x14ac:dyDescent="0.25">
      <c r="A60" s="212"/>
      <c r="B60" s="160"/>
      <c r="C60" s="168" t="s">
        <v>113</v>
      </c>
      <c r="D60" s="158">
        <v>19</v>
      </c>
      <c r="E60" s="158">
        <v>4</v>
      </c>
      <c r="F60" s="158">
        <v>0.2</v>
      </c>
      <c r="G60" s="158">
        <v>1</v>
      </c>
      <c r="H60" s="158">
        <f>(D60*E60*G60)</f>
        <v>76</v>
      </c>
      <c r="I60" s="158"/>
    </row>
    <row r="61" spans="1:9" s="164" customFormat="1" hidden="1" x14ac:dyDescent="0.25">
      <c r="A61" s="212"/>
      <c r="B61" s="160"/>
      <c r="C61" s="168"/>
      <c r="D61" s="167"/>
      <c r="E61" s="139"/>
      <c r="F61" s="169"/>
      <c r="G61" s="169"/>
      <c r="H61" s="158">
        <f>SUM(H59:H60)</f>
        <v>104</v>
      </c>
      <c r="I61" s="159" t="s">
        <v>116</v>
      </c>
    </row>
    <row r="62" spans="1:9" s="164" customFormat="1" hidden="1" x14ac:dyDescent="0.25">
      <c r="A62" s="212"/>
      <c r="B62" s="160"/>
      <c r="C62" s="168"/>
      <c r="D62" s="158"/>
      <c r="E62" s="158"/>
      <c r="F62" s="158"/>
      <c r="G62" s="158"/>
      <c r="H62" s="158"/>
      <c r="I62" s="158"/>
    </row>
    <row r="63" spans="1:9" s="164" customFormat="1" ht="51" hidden="1" x14ac:dyDescent="0.25">
      <c r="A63" s="212" t="s">
        <v>52</v>
      </c>
      <c r="B63" s="160" t="s">
        <v>78</v>
      </c>
      <c r="C63" s="168" t="s">
        <v>79</v>
      </c>
      <c r="D63" s="162" t="s">
        <v>107</v>
      </c>
      <c r="E63" s="163" t="s">
        <v>111</v>
      </c>
      <c r="F63" s="191" t="s">
        <v>109</v>
      </c>
      <c r="G63" s="191" t="s">
        <v>114</v>
      </c>
      <c r="H63" s="169"/>
      <c r="I63" s="169"/>
    </row>
    <row r="64" spans="1:9" s="164" customFormat="1" hidden="1" x14ac:dyDescent="0.25">
      <c r="A64" s="212"/>
      <c r="B64" s="160"/>
      <c r="C64" s="168" t="s">
        <v>112</v>
      </c>
      <c r="D64" s="158">
        <v>1</v>
      </c>
      <c r="E64" s="158">
        <v>2</v>
      </c>
      <c r="F64" s="158">
        <v>0.2</v>
      </c>
      <c r="G64" s="158">
        <v>7</v>
      </c>
      <c r="H64" s="158">
        <f>(D64*E64*F64*G64)</f>
        <v>2.8000000000000003</v>
      </c>
      <c r="I64" s="158"/>
    </row>
    <row r="65" spans="1:9" s="164" customFormat="1" hidden="1" x14ac:dyDescent="0.25">
      <c r="A65" s="212"/>
      <c r="B65" s="160"/>
      <c r="C65" s="168" t="s">
        <v>113</v>
      </c>
      <c r="D65" s="158">
        <v>19</v>
      </c>
      <c r="E65" s="158">
        <v>2</v>
      </c>
      <c r="F65" s="158">
        <v>0.3</v>
      </c>
      <c r="G65" s="158">
        <v>1</v>
      </c>
      <c r="H65" s="158">
        <f>(D65*E65*F65*G65)</f>
        <v>11.4</v>
      </c>
      <c r="I65" s="158"/>
    </row>
    <row r="66" spans="1:9" s="164" customFormat="1" hidden="1" x14ac:dyDescent="0.25">
      <c r="A66" s="212"/>
      <c r="B66" s="160"/>
      <c r="C66" s="168"/>
      <c r="D66" s="167"/>
      <c r="E66" s="139"/>
      <c r="F66" s="169"/>
      <c r="G66" s="169"/>
      <c r="H66" s="158">
        <f>SUM(H64:H65)</f>
        <v>14.200000000000001</v>
      </c>
      <c r="I66" s="159" t="s">
        <v>4</v>
      </c>
    </row>
    <row r="67" spans="1:9" s="164" customFormat="1" hidden="1" x14ac:dyDescent="0.25">
      <c r="A67" s="212"/>
      <c r="B67" s="160"/>
      <c r="C67" s="168"/>
      <c r="D67" s="158"/>
      <c r="E67" s="158"/>
      <c r="F67" s="158"/>
      <c r="G67" s="158"/>
      <c r="H67" s="158"/>
      <c r="I67" s="158"/>
    </row>
    <row r="68" spans="1:9" s="164" customFormat="1" ht="51" hidden="1" x14ac:dyDescent="0.25">
      <c r="A68" s="212" t="s">
        <v>60</v>
      </c>
      <c r="B68" s="137" t="s">
        <v>55</v>
      </c>
      <c r="C68" s="168" t="s">
        <v>54</v>
      </c>
      <c r="D68" s="162" t="s">
        <v>107</v>
      </c>
      <c r="E68" s="163" t="s">
        <v>111</v>
      </c>
      <c r="F68" s="191" t="s">
        <v>108</v>
      </c>
      <c r="G68" s="191" t="s">
        <v>114</v>
      </c>
      <c r="H68" s="169"/>
      <c r="I68" s="169"/>
    </row>
    <row r="69" spans="1:9" s="164" customFormat="1" hidden="1" x14ac:dyDescent="0.25">
      <c r="A69" s="212"/>
      <c r="B69" s="137"/>
      <c r="C69" s="168" t="s">
        <v>85</v>
      </c>
      <c r="D69" s="158">
        <v>19</v>
      </c>
      <c r="E69" s="158">
        <v>1</v>
      </c>
      <c r="F69" s="158">
        <v>1</v>
      </c>
      <c r="G69" s="158">
        <v>1</v>
      </c>
      <c r="H69" s="158">
        <f>(D69*E69*F69*G69)</f>
        <v>19</v>
      </c>
      <c r="I69" s="158"/>
    </row>
    <row r="70" spans="1:9" s="164" customFormat="1" hidden="1" x14ac:dyDescent="0.25">
      <c r="A70" s="212"/>
      <c r="B70" s="137"/>
      <c r="C70" s="168"/>
      <c r="D70" s="167"/>
      <c r="E70" s="139"/>
      <c r="F70" s="169"/>
      <c r="G70" s="169"/>
      <c r="H70" s="158">
        <f>SUM(H69:H69)</f>
        <v>19</v>
      </c>
      <c r="I70" s="159" t="s">
        <v>4</v>
      </c>
    </row>
    <row r="71" spans="1:9" s="164" customFormat="1" hidden="1" x14ac:dyDescent="0.25">
      <c r="A71" s="212"/>
      <c r="B71" s="137"/>
      <c r="C71" s="168"/>
      <c r="D71" s="167"/>
      <c r="E71" s="139"/>
      <c r="F71" s="169"/>
      <c r="G71" s="169"/>
      <c r="H71" s="169"/>
      <c r="I71" s="169"/>
    </row>
    <row r="72" spans="1:9" s="164" customFormat="1" ht="25.5" hidden="1" x14ac:dyDescent="0.25">
      <c r="A72" s="212" t="s">
        <v>61</v>
      </c>
      <c r="B72" s="160" t="s">
        <v>58</v>
      </c>
      <c r="C72" s="168" t="s">
        <v>56</v>
      </c>
      <c r="D72" s="167" t="s">
        <v>4</v>
      </c>
      <c r="E72" s="139">
        <v>29</v>
      </c>
      <c r="F72" s="169">
        <v>5.8</v>
      </c>
      <c r="G72" s="169"/>
      <c r="H72" s="169"/>
      <c r="I72" s="169">
        <f t="shared" ref="I72" si="0">ROUND((F72*E72),2)</f>
        <v>168.2</v>
      </c>
    </row>
    <row r="73" spans="1:9" s="164" customFormat="1" hidden="1" x14ac:dyDescent="0.25">
      <c r="A73" s="212"/>
      <c r="B73" s="160"/>
      <c r="C73" s="168" t="s">
        <v>85</v>
      </c>
      <c r="D73" s="158">
        <v>19</v>
      </c>
      <c r="E73" s="158">
        <v>2</v>
      </c>
      <c r="F73" s="158">
        <v>1</v>
      </c>
      <c r="G73" s="158">
        <v>1</v>
      </c>
      <c r="H73" s="158">
        <f>(D73*E73*F73*G73)</f>
        <v>38</v>
      </c>
      <c r="I73" s="158"/>
    </row>
    <row r="74" spans="1:9" s="164" customFormat="1" hidden="1" x14ac:dyDescent="0.25">
      <c r="A74" s="212"/>
      <c r="B74" s="160"/>
      <c r="C74" s="168"/>
      <c r="D74" s="167"/>
      <c r="E74" s="139"/>
      <c r="F74" s="169"/>
      <c r="G74" s="169"/>
      <c r="H74" s="158">
        <f>SUM(H73:H73)</f>
        <v>38</v>
      </c>
      <c r="I74" s="159" t="s">
        <v>4</v>
      </c>
    </row>
    <row r="75" spans="1:9" s="164" customFormat="1" hidden="1" x14ac:dyDescent="0.25">
      <c r="A75" s="212"/>
      <c r="B75" s="160"/>
      <c r="C75" s="168"/>
      <c r="D75" s="167"/>
      <c r="E75" s="139"/>
      <c r="F75" s="169"/>
      <c r="G75" s="169"/>
      <c r="H75" s="169"/>
      <c r="I75" s="169"/>
    </row>
    <row r="76" spans="1:9" s="164" customFormat="1" ht="25.5" hidden="1" x14ac:dyDescent="0.25">
      <c r="A76" s="212" t="s">
        <v>62</v>
      </c>
      <c r="B76" s="160" t="s">
        <v>59</v>
      </c>
      <c r="C76" s="168" t="s">
        <v>57</v>
      </c>
      <c r="D76" s="167"/>
      <c r="E76" s="139"/>
      <c r="F76" s="169"/>
      <c r="G76" s="169"/>
      <c r="H76" s="169"/>
      <c r="I76" s="169"/>
    </row>
    <row r="77" spans="1:9" s="164" customFormat="1" hidden="1" x14ac:dyDescent="0.25">
      <c r="A77" s="212"/>
      <c r="B77" s="160"/>
      <c r="C77" s="168" t="s">
        <v>85</v>
      </c>
      <c r="D77" s="158">
        <v>19</v>
      </c>
      <c r="E77" s="158">
        <v>2</v>
      </c>
      <c r="F77" s="158">
        <v>1</v>
      </c>
      <c r="G77" s="158">
        <v>1</v>
      </c>
      <c r="H77" s="158">
        <f>(D77*E77*F77*G77)</f>
        <v>38</v>
      </c>
      <c r="I77" s="158"/>
    </row>
    <row r="78" spans="1:9" s="164" customFormat="1" hidden="1" x14ac:dyDescent="0.25">
      <c r="A78" s="212"/>
      <c r="B78" s="160"/>
      <c r="C78" s="168"/>
      <c r="D78" s="167"/>
      <c r="E78" s="139"/>
      <c r="F78" s="169"/>
      <c r="G78" s="169"/>
      <c r="H78" s="158">
        <f>SUM(H77:H77)</f>
        <v>38</v>
      </c>
      <c r="I78" s="159" t="s">
        <v>4</v>
      </c>
    </row>
    <row r="79" spans="1:9" s="164" customFormat="1" hidden="1" x14ac:dyDescent="0.25">
      <c r="A79" s="212"/>
      <c r="B79" s="160"/>
      <c r="C79" s="168"/>
      <c r="D79" s="167"/>
      <c r="E79" s="139"/>
      <c r="F79" s="169"/>
      <c r="G79" s="169"/>
      <c r="H79" s="169"/>
      <c r="I79" s="169"/>
    </row>
    <row r="80" spans="1:9" s="164" customFormat="1" hidden="1" x14ac:dyDescent="0.25">
      <c r="A80" s="268"/>
      <c r="B80" s="269"/>
      <c r="C80" s="269"/>
      <c r="D80" s="269"/>
      <c r="E80" s="269"/>
      <c r="F80" s="269"/>
      <c r="G80" s="269"/>
      <c r="H80" s="269"/>
      <c r="I80" s="269"/>
    </row>
    <row r="81" spans="1:9" s="164" customFormat="1" hidden="1" x14ac:dyDescent="0.25">
      <c r="A81" s="211">
        <v>5</v>
      </c>
      <c r="B81" s="178"/>
      <c r="C81" s="179" t="s">
        <v>41</v>
      </c>
      <c r="D81" s="193"/>
      <c r="E81" s="189"/>
      <c r="F81" s="190"/>
      <c r="G81" s="190"/>
      <c r="H81" s="190"/>
      <c r="I81" s="190"/>
    </row>
    <row r="82" spans="1:9" s="164" customFormat="1" ht="51" hidden="1" x14ac:dyDescent="0.25">
      <c r="A82" s="212" t="s">
        <v>68</v>
      </c>
      <c r="B82" s="160" t="s">
        <v>78</v>
      </c>
      <c r="C82" s="168" t="s">
        <v>79</v>
      </c>
      <c r="D82" s="162" t="s">
        <v>107</v>
      </c>
      <c r="E82" s="163" t="s">
        <v>109</v>
      </c>
      <c r="F82" s="191" t="s">
        <v>108</v>
      </c>
      <c r="G82" s="191" t="s">
        <v>114</v>
      </c>
      <c r="H82" s="191" t="s">
        <v>125</v>
      </c>
      <c r="I82" s="195" t="s">
        <v>147</v>
      </c>
    </row>
    <row r="83" spans="1:9" s="164" customFormat="1" hidden="1" x14ac:dyDescent="0.25">
      <c r="A83" s="212"/>
      <c r="B83" s="160"/>
      <c r="C83" s="168" t="s">
        <v>118</v>
      </c>
      <c r="D83" s="158">
        <f>5.23+1.5+1.68+1</f>
        <v>9.41</v>
      </c>
      <c r="E83" s="158">
        <v>1</v>
      </c>
      <c r="F83" s="158">
        <v>1</v>
      </c>
      <c r="G83" s="158">
        <v>1</v>
      </c>
      <c r="H83" s="158">
        <f>(D83*E83*F83*G83)</f>
        <v>9.41</v>
      </c>
      <c r="I83" s="169" t="s">
        <v>4</v>
      </c>
    </row>
    <row r="84" spans="1:9" s="164" customFormat="1" hidden="1" x14ac:dyDescent="0.25">
      <c r="A84" s="212"/>
      <c r="B84" s="160"/>
      <c r="C84" s="168" t="s">
        <v>117</v>
      </c>
      <c r="D84" s="158">
        <v>1</v>
      </c>
      <c r="E84" s="158">
        <v>1</v>
      </c>
      <c r="F84" s="158">
        <v>0.18</v>
      </c>
      <c r="G84" s="158">
        <v>24</v>
      </c>
      <c r="H84" s="158">
        <f>(D84*E84*F84*G84)</f>
        <v>4.32</v>
      </c>
      <c r="I84" s="169" t="s">
        <v>4</v>
      </c>
    </row>
    <row r="85" spans="1:9" s="164" customFormat="1" hidden="1" x14ac:dyDescent="0.25">
      <c r="A85" s="212"/>
      <c r="B85" s="160"/>
      <c r="C85" s="168" t="s">
        <v>112</v>
      </c>
      <c r="D85" s="158">
        <v>0.15</v>
      </c>
      <c r="E85" s="158">
        <v>0.3</v>
      </c>
      <c r="F85" s="158">
        <v>2.96</v>
      </c>
      <c r="G85" s="158">
        <v>2</v>
      </c>
      <c r="H85" s="158">
        <f>(D85+E85)*2*F85</f>
        <v>2.6639999999999997</v>
      </c>
      <c r="I85" s="169" t="s">
        <v>4</v>
      </c>
    </row>
    <row r="86" spans="1:9" s="164" customFormat="1" hidden="1" x14ac:dyDescent="0.25">
      <c r="A86" s="212"/>
      <c r="B86" s="160"/>
      <c r="C86" s="168"/>
      <c r="D86" s="158">
        <v>0.15</v>
      </c>
      <c r="E86" s="158">
        <v>0.3</v>
      </c>
      <c r="F86" s="158">
        <v>3.9</v>
      </c>
      <c r="G86" s="158">
        <v>2</v>
      </c>
      <c r="H86" s="158">
        <f>(D86+E86)*2*F86</f>
        <v>3.51</v>
      </c>
      <c r="I86" s="169" t="s">
        <v>4</v>
      </c>
    </row>
    <row r="87" spans="1:9" s="164" customFormat="1" hidden="1" x14ac:dyDescent="0.25">
      <c r="A87" s="212"/>
      <c r="B87" s="160"/>
      <c r="C87" s="168" t="s">
        <v>119</v>
      </c>
      <c r="D87" s="158">
        <v>1.5</v>
      </c>
      <c r="E87" s="158">
        <v>0.15</v>
      </c>
      <c r="F87" s="158">
        <v>0.3</v>
      </c>
      <c r="G87" s="158">
        <v>1</v>
      </c>
      <c r="H87" s="158">
        <f>D87*(E87+F87+F87)*1</f>
        <v>1.125</v>
      </c>
      <c r="I87" s="169" t="s">
        <v>4</v>
      </c>
    </row>
    <row r="88" spans="1:9" s="164" customFormat="1" hidden="1" x14ac:dyDescent="0.25">
      <c r="A88" s="212"/>
      <c r="B88" s="160"/>
      <c r="C88" s="168"/>
      <c r="D88" s="158">
        <v>1</v>
      </c>
      <c r="E88" s="158">
        <v>0.15</v>
      </c>
      <c r="F88" s="158">
        <v>1</v>
      </c>
      <c r="G88" s="158">
        <v>4</v>
      </c>
      <c r="H88" s="158">
        <f>D88*(E88+F88+F88)*1</f>
        <v>2.15</v>
      </c>
      <c r="I88" s="169" t="s">
        <v>4</v>
      </c>
    </row>
    <row r="89" spans="1:9" s="164" customFormat="1" hidden="1" x14ac:dyDescent="0.25">
      <c r="A89" s="212"/>
      <c r="B89" s="160"/>
      <c r="C89" s="168"/>
      <c r="D89" s="167"/>
      <c r="E89" s="139"/>
      <c r="F89" s="169"/>
      <c r="G89" s="169"/>
      <c r="H89" s="158">
        <f>SUM(H83:H88)</f>
        <v>23.178999999999995</v>
      </c>
      <c r="I89" s="169" t="s">
        <v>4</v>
      </c>
    </row>
    <row r="90" spans="1:9" s="164" customFormat="1" hidden="1" x14ac:dyDescent="0.25">
      <c r="A90" s="212"/>
      <c r="B90" s="160"/>
      <c r="C90" s="168"/>
      <c r="D90" s="167"/>
      <c r="E90" s="139"/>
      <c r="F90" s="169"/>
      <c r="G90" s="169"/>
      <c r="H90" s="169"/>
      <c r="I90" s="169"/>
    </row>
    <row r="91" spans="1:9" s="164" customFormat="1" ht="25.5" hidden="1" x14ac:dyDescent="0.25">
      <c r="A91" s="212" t="s">
        <v>69</v>
      </c>
      <c r="B91" s="160" t="s">
        <v>47</v>
      </c>
      <c r="C91" s="168" t="s">
        <v>44</v>
      </c>
      <c r="D91" s="162" t="s">
        <v>107</v>
      </c>
      <c r="E91" s="163" t="s">
        <v>109</v>
      </c>
      <c r="F91" s="191" t="s">
        <v>108</v>
      </c>
      <c r="G91" s="191" t="s">
        <v>114</v>
      </c>
      <c r="H91" s="191" t="s">
        <v>137</v>
      </c>
      <c r="I91" s="195" t="s">
        <v>147</v>
      </c>
    </row>
    <row r="92" spans="1:9" s="164" customFormat="1" hidden="1" x14ac:dyDescent="0.25">
      <c r="A92" s="212"/>
      <c r="B92" s="160"/>
      <c r="C92" s="168" t="s">
        <v>118</v>
      </c>
      <c r="D92" s="158">
        <f>5.23+1.5+1.68+1</f>
        <v>9.41</v>
      </c>
      <c r="E92" s="158">
        <v>1</v>
      </c>
      <c r="F92" s="158">
        <v>1</v>
      </c>
      <c r="G92" s="158">
        <v>1</v>
      </c>
      <c r="H92" s="158">
        <f>D92/0.2*E92*0.68</f>
        <v>31.994</v>
      </c>
      <c r="I92" s="169" t="s">
        <v>116</v>
      </c>
    </row>
    <row r="93" spans="1:9" s="164" customFormat="1" hidden="1" x14ac:dyDescent="0.25">
      <c r="A93" s="212"/>
      <c r="B93" s="160"/>
      <c r="C93" s="168"/>
      <c r="D93" s="158">
        <v>1</v>
      </c>
      <c r="E93" s="158">
        <v>9.43</v>
      </c>
      <c r="F93" s="158">
        <v>1</v>
      </c>
      <c r="G93" s="158">
        <v>1</v>
      </c>
      <c r="H93" s="158">
        <f>D93/0.2*E93*0.68</f>
        <v>32.062000000000005</v>
      </c>
      <c r="I93" s="169" t="s">
        <v>116</v>
      </c>
    </row>
    <row r="94" spans="1:9" s="164" customFormat="1" hidden="1" x14ac:dyDescent="0.25">
      <c r="A94" s="212"/>
      <c r="B94" s="160"/>
      <c r="C94" s="168" t="s">
        <v>112</v>
      </c>
      <c r="D94" s="158">
        <f>2.96+0.5+0.2</f>
        <v>3.66</v>
      </c>
      <c r="E94" s="158">
        <v>4</v>
      </c>
      <c r="F94" s="158">
        <v>1</v>
      </c>
      <c r="G94" s="158">
        <v>2</v>
      </c>
      <c r="H94" s="158">
        <f>D94*E94*F94*G94*0.68</f>
        <v>19.910400000000003</v>
      </c>
      <c r="I94" s="169" t="s">
        <v>116</v>
      </c>
    </row>
    <row r="95" spans="1:9" s="164" customFormat="1" hidden="1" x14ac:dyDescent="0.25">
      <c r="A95" s="212"/>
      <c r="B95" s="160"/>
      <c r="C95" s="168"/>
      <c r="D95" s="158">
        <f>3.9+0.5+0.2+0.5+0.2</f>
        <v>5.3000000000000007</v>
      </c>
      <c r="E95" s="158">
        <v>4</v>
      </c>
      <c r="F95" s="158">
        <v>1</v>
      </c>
      <c r="G95" s="158">
        <v>2</v>
      </c>
      <c r="H95" s="158">
        <f>D95*E95*F95*G95*0.68</f>
        <v>28.832000000000004</v>
      </c>
      <c r="I95" s="169" t="s">
        <v>116</v>
      </c>
    </row>
    <row r="96" spans="1:9" s="164" customFormat="1" hidden="1" x14ac:dyDescent="0.25">
      <c r="A96" s="212"/>
      <c r="B96" s="160"/>
      <c r="C96" s="168" t="s">
        <v>119</v>
      </c>
      <c r="D96" s="158">
        <f>1.5+0.3</f>
        <v>1.8</v>
      </c>
      <c r="E96" s="158">
        <v>4</v>
      </c>
      <c r="F96" s="158">
        <v>1</v>
      </c>
      <c r="G96" s="158">
        <v>1</v>
      </c>
      <c r="H96" s="158">
        <f>D96*E96*F96*G96*0.68</f>
        <v>4.8960000000000008</v>
      </c>
      <c r="I96" s="169" t="s">
        <v>116</v>
      </c>
    </row>
    <row r="97" spans="1:9" s="164" customFormat="1" hidden="1" x14ac:dyDescent="0.25">
      <c r="A97" s="212"/>
      <c r="B97" s="160"/>
      <c r="C97" s="168" t="s">
        <v>120</v>
      </c>
      <c r="D97" s="158">
        <f>1+0.4</f>
        <v>1.4</v>
      </c>
      <c r="E97" s="158">
        <v>4</v>
      </c>
      <c r="F97" s="158">
        <v>1</v>
      </c>
      <c r="G97" s="158">
        <v>4</v>
      </c>
      <c r="H97" s="158">
        <f>D97*E97*F97*G97*0.68</f>
        <v>15.231999999999999</v>
      </c>
      <c r="I97" s="169" t="s">
        <v>116</v>
      </c>
    </row>
    <row r="98" spans="1:9" s="164" customFormat="1" hidden="1" x14ac:dyDescent="0.25">
      <c r="A98" s="212"/>
      <c r="B98" s="160"/>
      <c r="C98" s="168"/>
      <c r="D98" s="158">
        <f>1+0.6</f>
        <v>1.6</v>
      </c>
      <c r="E98" s="158">
        <v>1</v>
      </c>
      <c r="F98" s="158">
        <v>1</v>
      </c>
      <c r="G98" s="158">
        <v>1</v>
      </c>
      <c r="H98" s="158">
        <f>D98/0.2*D98*4</f>
        <v>51.2</v>
      </c>
      <c r="I98" s="169" t="s">
        <v>116</v>
      </c>
    </row>
    <row r="99" spans="1:9" s="164" customFormat="1" hidden="1" x14ac:dyDescent="0.25">
      <c r="A99" s="212"/>
      <c r="B99" s="160"/>
      <c r="C99" s="168"/>
      <c r="D99" s="167"/>
      <c r="E99" s="139"/>
      <c r="F99" s="169"/>
      <c r="G99" s="169"/>
      <c r="H99" s="158">
        <f>SUM(H92:H98)</f>
        <v>184.12640000000005</v>
      </c>
      <c r="I99" s="169" t="s">
        <v>116</v>
      </c>
    </row>
    <row r="100" spans="1:9" s="164" customFormat="1" hidden="1" x14ac:dyDescent="0.25">
      <c r="A100" s="212"/>
      <c r="B100" s="160"/>
      <c r="C100" s="168"/>
      <c r="D100" s="167"/>
      <c r="E100" s="139"/>
      <c r="F100" s="169"/>
      <c r="G100" s="169"/>
      <c r="H100" s="169"/>
      <c r="I100" s="170"/>
    </row>
    <row r="101" spans="1:9" s="164" customFormat="1" ht="25.5" hidden="1" x14ac:dyDescent="0.25">
      <c r="A101" s="212" t="s">
        <v>70</v>
      </c>
      <c r="B101" s="160" t="s">
        <v>48</v>
      </c>
      <c r="C101" s="168" t="s">
        <v>45</v>
      </c>
      <c r="D101" s="162" t="s">
        <v>107</v>
      </c>
      <c r="E101" s="163" t="s">
        <v>109</v>
      </c>
      <c r="F101" s="191" t="s">
        <v>108</v>
      </c>
      <c r="G101" s="191" t="s">
        <v>114</v>
      </c>
      <c r="H101" s="191" t="s">
        <v>137</v>
      </c>
      <c r="I101" s="195" t="s">
        <v>147</v>
      </c>
    </row>
    <row r="102" spans="1:9" s="164" customFormat="1" hidden="1" x14ac:dyDescent="0.25">
      <c r="A102" s="212"/>
      <c r="B102" s="160"/>
      <c r="C102" s="168" t="s">
        <v>112</v>
      </c>
      <c r="D102" s="158">
        <f>2.96+0.5+0.2</f>
        <v>3.66</v>
      </c>
      <c r="E102" s="158">
        <v>0.1</v>
      </c>
      <c r="F102" s="158">
        <v>0.3</v>
      </c>
      <c r="G102" s="158">
        <v>2</v>
      </c>
      <c r="H102" s="158">
        <f>(D102/0.2)*(E102*2+F102*2+0.1)*G102*0.12</f>
        <v>3.9528000000000003</v>
      </c>
      <c r="I102" s="169"/>
    </row>
    <row r="103" spans="1:9" s="164" customFormat="1" hidden="1" x14ac:dyDescent="0.25">
      <c r="A103" s="212"/>
      <c r="B103" s="160"/>
      <c r="C103" s="168"/>
      <c r="D103" s="158">
        <f>3.9+0.5+0.2+0.5+0.2</f>
        <v>5.3000000000000007</v>
      </c>
      <c r="E103" s="158">
        <v>0.1</v>
      </c>
      <c r="F103" s="158">
        <v>0.3</v>
      </c>
      <c r="G103" s="158">
        <v>2</v>
      </c>
      <c r="H103" s="158">
        <f>(D103/0.2)*(E103*2+F103*2+0.1)*G103*0.12</f>
        <v>5.7240000000000011</v>
      </c>
      <c r="I103" s="169"/>
    </row>
    <row r="104" spans="1:9" s="164" customFormat="1" hidden="1" x14ac:dyDescent="0.25">
      <c r="A104" s="212"/>
      <c r="B104" s="160"/>
      <c r="C104" s="168" t="s">
        <v>119</v>
      </c>
      <c r="D104" s="158">
        <f>1.5+0.3</f>
        <v>1.8</v>
      </c>
      <c r="E104" s="158">
        <v>0.1</v>
      </c>
      <c r="F104" s="158">
        <v>0.3</v>
      </c>
      <c r="G104" s="158">
        <v>1</v>
      </c>
      <c r="H104" s="158">
        <f>(D104/0.2)*(E104*2+F104*2+0.1)*G104*0.12</f>
        <v>0.97199999999999998</v>
      </c>
      <c r="I104" s="169"/>
    </row>
    <row r="105" spans="1:9" s="164" customFormat="1" hidden="1" x14ac:dyDescent="0.25">
      <c r="A105" s="212"/>
      <c r="B105" s="160"/>
      <c r="C105" s="168"/>
      <c r="D105" s="158">
        <v>1.4</v>
      </c>
      <c r="E105" s="158">
        <v>0.1</v>
      </c>
      <c r="F105" s="158">
        <v>0.3</v>
      </c>
      <c r="G105" s="158">
        <v>1</v>
      </c>
      <c r="H105" s="158">
        <f>(D105/0.2)*(E105*2+F105*2+0.1)*G105*0.12</f>
        <v>0.75599999999999989</v>
      </c>
      <c r="I105" s="169"/>
    </row>
    <row r="106" spans="1:9" s="164" customFormat="1" hidden="1" x14ac:dyDescent="0.25">
      <c r="A106" s="212"/>
      <c r="B106" s="160"/>
      <c r="C106" s="168"/>
      <c r="D106" s="167"/>
      <c r="E106" s="139"/>
      <c r="F106" s="169"/>
      <c r="G106" s="169"/>
      <c r="H106" s="158">
        <f>SUM(H102:H105)</f>
        <v>11.404800000000002</v>
      </c>
      <c r="I106" s="169" t="s">
        <v>116</v>
      </c>
    </row>
    <row r="107" spans="1:9" s="164" customFormat="1" hidden="1" x14ac:dyDescent="0.25">
      <c r="A107" s="212"/>
      <c r="B107" s="160"/>
      <c r="C107" s="168"/>
      <c r="D107" s="167"/>
      <c r="E107" s="139"/>
      <c r="F107" s="169"/>
      <c r="G107" s="169"/>
      <c r="H107" s="169"/>
      <c r="I107" s="170"/>
    </row>
    <row r="108" spans="1:9" s="164" customFormat="1" ht="25.5" hidden="1" x14ac:dyDescent="0.25">
      <c r="A108" s="212" t="s">
        <v>71</v>
      </c>
      <c r="B108" s="160" t="s">
        <v>73</v>
      </c>
      <c r="C108" s="168" t="s">
        <v>72</v>
      </c>
      <c r="D108" s="162" t="s">
        <v>107</v>
      </c>
      <c r="E108" s="163" t="s">
        <v>109</v>
      </c>
      <c r="F108" s="191" t="s">
        <v>108</v>
      </c>
      <c r="G108" s="191" t="s">
        <v>114</v>
      </c>
      <c r="H108" s="191" t="s">
        <v>124</v>
      </c>
      <c r="I108" s="195" t="s">
        <v>147</v>
      </c>
    </row>
    <row r="109" spans="1:9" s="164" customFormat="1" hidden="1" x14ac:dyDescent="0.25">
      <c r="A109" s="212"/>
      <c r="B109" s="160"/>
      <c r="C109" s="168" t="s">
        <v>118</v>
      </c>
      <c r="D109" s="158">
        <f>5.23+1.5+1.68+1</f>
        <v>9.41</v>
      </c>
      <c r="E109" s="158">
        <v>1</v>
      </c>
      <c r="F109" s="158">
        <v>0.1</v>
      </c>
      <c r="G109" s="158">
        <v>1</v>
      </c>
      <c r="H109" s="158">
        <f>(D109*E109*F109*G109)</f>
        <v>0.94100000000000006</v>
      </c>
      <c r="I109" s="169" t="s">
        <v>43</v>
      </c>
    </row>
    <row r="110" spans="1:9" s="164" customFormat="1" hidden="1" x14ac:dyDescent="0.25">
      <c r="A110" s="212"/>
      <c r="B110" s="160"/>
      <c r="C110" s="168" t="s">
        <v>117</v>
      </c>
      <c r="D110" s="158">
        <v>1</v>
      </c>
      <c r="E110" s="158">
        <v>1</v>
      </c>
      <c r="F110" s="158">
        <f>0.18/2</f>
        <v>0.09</v>
      </c>
      <c r="G110" s="158">
        <v>24</v>
      </c>
      <c r="H110" s="158">
        <f>(D110*E110*F110*G110)</f>
        <v>2.16</v>
      </c>
      <c r="I110" s="169" t="s">
        <v>43</v>
      </c>
    </row>
    <row r="111" spans="1:9" s="164" customFormat="1" hidden="1" x14ac:dyDescent="0.25">
      <c r="A111" s="212"/>
      <c r="B111" s="160"/>
      <c r="C111" s="168" t="s">
        <v>112</v>
      </c>
      <c r="D111" s="158">
        <v>0.15</v>
      </c>
      <c r="E111" s="158">
        <v>0.3</v>
      </c>
      <c r="F111" s="158">
        <v>2.96</v>
      </c>
      <c r="G111" s="158">
        <v>2</v>
      </c>
      <c r="H111" s="158">
        <f>D111*E111*F111*G111</f>
        <v>0.26639999999999997</v>
      </c>
      <c r="I111" s="169" t="s">
        <v>43</v>
      </c>
    </row>
    <row r="112" spans="1:9" s="164" customFormat="1" hidden="1" x14ac:dyDescent="0.25">
      <c r="A112" s="212"/>
      <c r="B112" s="160"/>
      <c r="C112" s="168"/>
      <c r="D112" s="158">
        <v>0.15</v>
      </c>
      <c r="E112" s="158">
        <v>0.3</v>
      </c>
      <c r="F112" s="158">
        <v>3.9</v>
      </c>
      <c r="G112" s="158">
        <v>2</v>
      </c>
      <c r="H112" s="158">
        <f>D112*E112*F112*G112</f>
        <v>0.35099999999999998</v>
      </c>
      <c r="I112" s="169" t="s">
        <v>43</v>
      </c>
    </row>
    <row r="113" spans="1:12" s="164" customFormat="1" hidden="1" x14ac:dyDescent="0.25">
      <c r="A113" s="212"/>
      <c r="B113" s="160"/>
      <c r="C113" s="168" t="s">
        <v>119</v>
      </c>
      <c r="D113" s="158">
        <v>1.5</v>
      </c>
      <c r="E113" s="158">
        <v>0.15</v>
      </c>
      <c r="F113" s="158">
        <v>0.3</v>
      </c>
      <c r="G113" s="158">
        <v>1</v>
      </c>
      <c r="H113" s="158">
        <f>D113*E113*F113*G113</f>
        <v>6.7499999999999991E-2</v>
      </c>
      <c r="I113" s="169" t="s">
        <v>43</v>
      </c>
    </row>
    <row r="114" spans="1:12" s="164" customFormat="1" hidden="1" x14ac:dyDescent="0.25">
      <c r="A114" s="212"/>
      <c r="B114" s="160"/>
      <c r="C114" s="168"/>
      <c r="D114" s="158">
        <v>1</v>
      </c>
      <c r="E114" s="158">
        <v>0.15</v>
      </c>
      <c r="F114" s="158">
        <v>1</v>
      </c>
      <c r="G114" s="158">
        <v>4</v>
      </c>
      <c r="H114" s="158">
        <f>D114*E114*F114*G114</f>
        <v>0.6</v>
      </c>
      <c r="I114" s="169" t="s">
        <v>43</v>
      </c>
    </row>
    <row r="115" spans="1:12" s="164" customFormat="1" hidden="1" x14ac:dyDescent="0.25">
      <c r="A115" s="212"/>
      <c r="B115" s="160"/>
      <c r="C115" s="168" t="s">
        <v>120</v>
      </c>
      <c r="D115" s="158">
        <v>1</v>
      </c>
      <c r="E115" s="158">
        <v>1</v>
      </c>
      <c r="F115" s="158">
        <v>0.5</v>
      </c>
      <c r="G115" s="158">
        <v>4</v>
      </c>
      <c r="H115" s="158">
        <f>D115*E115*F115*G115</f>
        <v>2</v>
      </c>
      <c r="I115" s="169" t="s">
        <v>43</v>
      </c>
    </row>
    <row r="116" spans="1:12" s="164" customFormat="1" hidden="1" x14ac:dyDescent="0.25">
      <c r="A116" s="212"/>
      <c r="B116" s="160"/>
      <c r="C116" s="161" t="s">
        <v>110</v>
      </c>
      <c r="D116" s="167"/>
      <c r="E116" s="139"/>
      <c r="F116" s="169"/>
      <c r="G116" s="169"/>
      <c r="H116" s="158">
        <f>SUM(H109:H115)</f>
        <v>6.3858999999999995</v>
      </c>
      <c r="I116" s="169" t="s">
        <v>43</v>
      </c>
    </row>
    <row r="117" spans="1:12" s="164" customFormat="1" ht="9" hidden="1" customHeight="1" x14ac:dyDescent="0.25">
      <c r="A117" s="211"/>
      <c r="B117" s="178"/>
      <c r="C117" s="179"/>
      <c r="D117" s="193"/>
      <c r="E117" s="189"/>
      <c r="F117" s="196"/>
      <c r="G117" s="196"/>
      <c r="H117" s="196"/>
      <c r="I117" s="190"/>
    </row>
    <row r="118" spans="1:12" s="164" customFormat="1" hidden="1" x14ac:dyDescent="0.25">
      <c r="A118" s="211"/>
      <c r="B118" s="178"/>
      <c r="C118" s="179" t="s">
        <v>87</v>
      </c>
      <c r="D118" s="180"/>
      <c r="E118" s="180"/>
      <c r="F118" s="180"/>
      <c r="G118" s="180"/>
      <c r="H118" s="180"/>
      <c r="I118" s="181"/>
    </row>
    <row r="119" spans="1:12" s="164" customFormat="1" hidden="1" x14ac:dyDescent="0.25">
      <c r="A119" s="211">
        <v>1</v>
      </c>
      <c r="B119" s="178"/>
      <c r="C119" s="179" t="s">
        <v>2</v>
      </c>
      <c r="D119" s="180"/>
      <c r="E119" s="180"/>
      <c r="F119" s="180"/>
      <c r="G119" s="180"/>
      <c r="H119" s="180"/>
      <c r="I119" s="181"/>
    </row>
    <row r="120" spans="1:12" s="164" customFormat="1" ht="25.5" hidden="1" x14ac:dyDescent="0.25">
      <c r="A120" s="212" t="s">
        <v>3</v>
      </c>
      <c r="B120" s="160" t="s">
        <v>81</v>
      </c>
      <c r="C120" s="182" t="s">
        <v>80</v>
      </c>
      <c r="D120" s="167"/>
      <c r="E120" s="185"/>
      <c r="F120" s="162" t="s">
        <v>107</v>
      </c>
      <c r="G120" s="162" t="s">
        <v>109</v>
      </c>
      <c r="H120" s="162" t="s">
        <v>125</v>
      </c>
      <c r="I120" s="183" t="s">
        <v>147</v>
      </c>
      <c r="K120" s="256"/>
      <c r="L120" s="257"/>
    </row>
    <row r="121" spans="1:12" s="164" customFormat="1" hidden="1" x14ac:dyDescent="0.25">
      <c r="A121" s="212"/>
      <c r="B121" s="160"/>
      <c r="C121" s="168"/>
      <c r="D121" s="167"/>
      <c r="E121" s="185"/>
      <c r="F121" s="186">
        <v>2</v>
      </c>
      <c r="G121" s="186">
        <v>1.25</v>
      </c>
      <c r="H121" s="186">
        <f>F121*G121</f>
        <v>2.5</v>
      </c>
      <c r="I121" s="170" t="s">
        <v>43</v>
      </c>
      <c r="K121" s="187"/>
      <c r="L121" s="188"/>
    </row>
    <row r="122" spans="1:12" s="164" customFormat="1" ht="12" hidden="1" customHeight="1" x14ac:dyDescent="0.25">
      <c r="A122" s="213"/>
      <c r="B122" s="184"/>
      <c r="C122" s="197"/>
      <c r="D122" s="167"/>
      <c r="E122" s="185"/>
      <c r="F122" s="186"/>
      <c r="G122" s="186"/>
      <c r="H122" s="186"/>
      <c r="I122" s="170"/>
      <c r="K122" s="187"/>
      <c r="L122" s="188"/>
    </row>
    <row r="123" spans="1:12" s="164" customFormat="1" hidden="1" x14ac:dyDescent="0.25">
      <c r="A123" s="211">
        <v>2</v>
      </c>
      <c r="B123" s="178"/>
      <c r="C123" s="179" t="s">
        <v>38</v>
      </c>
      <c r="D123" s="180"/>
      <c r="E123" s="189"/>
      <c r="F123" s="190"/>
      <c r="G123" s="190"/>
      <c r="H123" s="190"/>
      <c r="I123" s="190"/>
    </row>
    <row r="124" spans="1:12" s="164" customFormat="1" ht="25.5" hidden="1" x14ac:dyDescent="0.25">
      <c r="A124" s="212" t="s">
        <v>16</v>
      </c>
      <c r="B124" s="160" t="s">
        <v>28</v>
      </c>
      <c r="C124" s="161" t="s">
        <v>27</v>
      </c>
      <c r="D124" s="162" t="s">
        <v>107</v>
      </c>
      <c r="E124" s="163" t="s">
        <v>109</v>
      </c>
      <c r="F124" s="191" t="s">
        <v>108</v>
      </c>
      <c r="G124" s="162" t="s">
        <v>124</v>
      </c>
      <c r="H124" s="165" t="s">
        <v>147</v>
      </c>
      <c r="I124" s="170"/>
    </row>
    <row r="125" spans="1:12" s="164" customFormat="1" hidden="1" x14ac:dyDescent="0.25">
      <c r="A125" s="212"/>
      <c r="B125" s="160"/>
      <c r="C125" s="161" t="s">
        <v>128</v>
      </c>
      <c r="D125" s="186">
        <v>10</v>
      </c>
      <c r="E125" s="186">
        <v>2.5</v>
      </c>
      <c r="F125" s="186">
        <v>0.5</v>
      </c>
      <c r="G125" s="186">
        <f>D125*E125*F125</f>
        <v>12.5</v>
      </c>
      <c r="H125" s="192" t="s">
        <v>43</v>
      </c>
      <c r="I125" s="186"/>
    </row>
    <row r="126" spans="1:12" s="164" customFormat="1" hidden="1" x14ac:dyDescent="0.25">
      <c r="A126" s="212"/>
      <c r="B126" s="160"/>
      <c r="C126" s="161"/>
      <c r="D126" s="186">
        <v>10</v>
      </c>
      <c r="E126" s="186">
        <v>1</v>
      </c>
      <c r="F126" s="186">
        <v>5</v>
      </c>
      <c r="G126" s="186">
        <f>D126*E126*F126</f>
        <v>50</v>
      </c>
      <c r="H126" s="192" t="s">
        <v>43</v>
      </c>
      <c r="I126" s="186"/>
    </row>
    <row r="127" spans="1:12" s="164" customFormat="1" hidden="1" x14ac:dyDescent="0.25">
      <c r="A127" s="212"/>
      <c r="B127" s="160"/>
      <c r="C127" s="161" t="s">
        <v>110</v>
      </c>
      <c r="D127" s="186"/>
      <c r="E127" s="186"/>
      <c r="F127" s="186"/>
      <c r="G127" s="186">
        <f>SUM(G125:G126)</f>
        <v>62.5</v>
      </c>
      <c r="H127" s="192" t="s">
        <v>43</v>
      </c>
      <c r="I127" s="186"/>
    </row>
    <row r="128" spans="1:12" s="164" customFormat="1" hidden="1" x14ac:dyDescent="0.25">
      <c r="A128" s="212"/>
      <c r="B128" s="160"/>
      <c r="C128" s="161"/>
      <c r="D128" s="167"/>
      <c r="E128" s="185"/>
      <c r="F128" s="169"/>
      <c r="G128" s="169"/>
      <c r="H128" s="169"/>
      <c r="I128" s="170"/>
    </row>
    <row r="129" spans="1:9" s="164" customFormat="1" ht="25.5" hidden="1" customHeight="1" x14ac:dyDescent="0.25">
      <c r="A129" s="212" t="s">
        <v>17</v>
      </c>
      <c r="B129" s="160" t="s">
        <v>65</v>
      </c>
      <c r="C129" s="168" t="s">
        <v>63</v>
      </c>
      <c r="D129" s="162" t="s">
        <v>107</v>
      </c>
      <c r="E129" s="163" t="s">
        <v>109</v>
      </c>
      <c r="F129" s="191" t="s">
        <v>108</v>
      </c>
      <c r="G129" s="162" t="s">
        <v>124</v>
      </c>
      <c r="H129" s="165" t="s">
        <v>147</v>
      </c>
      <c r="I129" s="170"/>
    </row>
    <row r="130" spans="1:9" s="164" customFormat="1" hidden="1" x14ac:dyDescent="0.25">
      <c r="A130" s="212"/>
      <c r="B130" s="160"/>
      <c r="C130" s="161" t="s">
        <v>128</v>
      </c>
      <c r="D130" s="186">
        <v>10</v>
      </c>
      <c r="E130" s="186">
        <v>0.5</v>
      </c>
      <c r="F130" s="186">
        <v>5</v>
      </c>
      <c r="G130" s="186">
        <f>D130*E130*F130</f>
        <v>25</v>
      </c>
      <c r="H130" s="192" t="s">
        <v>43</v>
      </c>
      <c r="I130" s="186"/>
    </row>
    <row r="131" spans="1:9" s="164" customFormat="1" hidden="1" x14ac:dyDescent="0.25">
      <c r="A131" s="212"/>
      <c r="B131" s="160"/>
      <c r="C131" s="161"/>
      <c r="D131" s="186"/>
      <c r="E131" s="186"/>
      <c r="F131" s="186"/>
      <c r="G131" s="186"/>
      <c r="H131" s="186"/>
      <c r="I131" s="186"/>
    </row>
    <row r="132" spans="1:9" s="164" customFormat="1" hidden="1" x14ac:dyDescent="0.25">
      <c r="A132" s="212"/>
      <c r="B132" s="160"/>
      <c r="C132" s="161"/>
      <c r="D132" s="186"/>
      <c r="E132" s="186"/>
      <c r="F132" s="186"/>
      <c r="G132" s="186"/>
      <c r="H132" s="186"/>
      <c r="I132" s="186"/>
    </row>
    <row r="133" spans="1:9" s="164" customFormat="1" ht="25.5" hidden="1" x14ac:dyDescent="0.25">
      <c r="A133" s="212" t="s">
        <v>18</v>
      </c>
      <c r="B133" s="160" t="s">
        <v>66</v>
      </c>
      <c r="C133" s="168" t="s">
        <v>64</v>
      </c>
      <c r="D133" s="162"/>
      <c r="E133" s="163" t="s">
        <v>107</v>
      </c>
      <c r="F133" s="191" t="s">
        <v>109</v>
      </c>
      <c r="G133" s="162" t="s">
        <v>125</v>
      </c>
      <c r="H133" s="169"/>
      <c r="I133" s="170"/>
    </row>
    <row r="134" spans="1:9" s="164" customFormat="1" hidden="1" x14ac:dyDescent="0.25">
      <c r="A134" s="212"/>
      <c r="B134" s="160"/>
      <c r="C134" s="161" t="s">
        <v>128</v>
      </c>
      <c r="D134" s="186"/>
      <c r="E134" s="186">
        <v>10</v>
      </c>
      <c r="F134" s="186">
        <v>2.5</v>
      </c>
      <c r="G134" s="186">
        <f>E134*F134</f>
        <v>25</v>
      </c>
      <c r="H134" s="192" t="s">
        <v>43</v>
      </c>
      <c r="I134" s="186"/>
    </row>
    <row r="135" spans="1:9" s="164" customFormat="1" hidden="1" x14ac:dyDescent="0.25">
      <c r="A135" s="212"/>
      <c r="B135" s="160"/>
      <c r="C135" s="161" t="s">
        <v>110</v>
      </c>
      <c r="D135" s="186"/>
      <c r="E135" s="186"/>
      <c r="F135" s="186"/>
      <c r="G135" s="186"/>
      <c r="H135" s="186"/>
      <c r="I135" s="186"/>
    </row>
    <row r="136" spans="1:9" s="164" customFormat="1" hidden="1" x14ac:dyDescent="0.25">
      <c r="A136" s="213"/>
      <c r="B136" s="184"/>
      <c r="C136" s="197"/>
      <c r="D136" s="167"/>
      <c r="E136" s="185"/>
      <c r="F136" s="191"/>
      <c r="G136" s="191"/>
      <c r="H136" s="191"/>
      <c r="I136" s="170"/>
    </row>
    <row r="137" spans="1:9" s="164" customFormat="1" hidden="1" x14ac:dyDescent="0.25">
      <c r="A137" s="211">
        <v>3</v>
      </c>
      <c r="B137" s="178"/>
      <c r="C137" s="179" t="s">
        <v>26</v>
      </c>
      <c r="D137" s="193"/>
      <c r="E137" s="189"/>
      <c r="F137" s="190"/>
      <c r="G137" s="190"/>
      <c r="H137" s="190"/>
      <c r="I137" s="190"/>
    </row>
    <row r="138" spans="1:9" s="164" customFormat="1" ht="38.25" hidden="1" x14ac:dyDescent="0.25">
      <c r="A138" s="212" t="s">
        <v>5</v>
      </c>
      <c r="B138" s="160" t="s">
        <v>30</v>
      </c>
      <c r="C138" s="168" t="s">
        <v>29</v>
      </c>
      <c r="D138" s="162" t="s">
        <v>107</v>
      </c>
      <c r="E138" s="194" t="s">
        <v>108</v>
      </c>
      <c r="F138" s="191" t="s">
        <v>111</v>
      </c>
      <c r="G138" s="162" t="s">
        <v>125</v>
      </c>
      <c r="H138" s="165" t="s">
        <v>147</v>
      </c>
      <c r="I138" s="170"/>
    </row>
    <row r="139" spans="1:9" s="164" customFormat="1" hidden="1" x14ac:dyDescent="0.25">
      <c r="A139" s="212"/>
      <c r="B139" s="160"/>
      <c r="C139" s="161" t="s">
        <v>128</v>
      </c>
      <c r="D139" s="186">
        <v>10</v>
      </c>
      <c r="E139" s="186">
        <v>5.5</v>
      </c>
      <c r="F139" s="186">
        <v>2</v>
      </c>
      <c r="G139" s="186">
        <f>F139*E139*D139</f>
        <v>110</v>
      </c>
      <c r="H139" s="192" t="s">
        <v>4</v>
      </c>
      <c r="I139" s="186"/>
    </row>
    <row r="140" spans="1:9" s="164" customFormat="1" hidden="1" x14ac:dyDescent="0.25">
      <c r="A140" s="212"/>
      <c r="B140" s="160"/>
      <c r="C140" s="161"/>
      <c r="D140" s="186"/>
      <c r="E140" s="186"/>
      <c r="F140" s="186"/>
      <c r="G140" s="186"/>
      <c r="H140" s="186"/>
      <c r="I140" s="186"/>
    </row>
    <row r="141" spans="1:9" s="164" customFormat="1" hidden="1" x14ac:dyDescent="0.25">
      <c r="A141" s="212"/>
      <c r="B141" s="160"/>
      <c r="C141" s="168"/>
      <c r="D141" s="167"/>
      <c r="E141" s="139"/>
      <c r="F141" s="169"/>
      <c r="G141" s="169"/>
      <c r="H141" s="169"/>
      <c r="I141" s="170"/>
    </row>
    <row r="142" spans="1:9" s="164" customFormat="1" ht="25.5" hidden="1" x14ac:dyDescent="0.25">
      <c r="A142" s="212" t="s">
        <v>6</v>
      </c>
      <c r="B142" s="137" t="s">
        <v>32</v>
      </c>
      <c r="C142" s="138" t="s">
        <v>31</v>
      </c>
      <c r="D142" s="162" t="s">
        <v>107</v>
      </c>
      <c r="E142" s="163" t="s">
        <v>109</v>
      </c>
      <c r="F142" s="191" t="s">
        <v>108</v>
      </c>
      <c r="G142" s="162" t="s">
        <v>124</v>
      </c>
      <c r="H142" s="169"/>
      <c r="I142" s="169"/>
    </row>
    <row r="143" spans="1:9" s="164" customFormat="1" hidden="1" x14ac:dyDescent="0.25">
      <c r="A143" s="212"/>
      <c r="B143" s="137"/>
      <c r="C143" s="161" t="s">
        <v>128</v>
      </c>
      <c r="D143" s="186">
        <v>10</v>
      </c>
      <c r="E143" s="186">
        <v>2.5</v>
      </c>
      <c r="F143" s="186">
        <v>0.5</v>
      </c>
      <c r="G143" s="186">
        <f>D143*E143*F143</f>
        <v>12.5</v>
      </c>
      <c r="H143" s="192" t="s">
        <v>43</v>
      </c>
      <c r="I143" s="186"/>
    </row>
    <row r="144" spans="1:9" s="164" customFormat="1" hidden="1" x14ac:dyDescent="0.25">
      <c r="A144" s="212"/>
      <c r="B144" s="137"/>
      <c r="D144" s="186">
        <v>10</v>
      </c>
      <c r="E144" s="186">
        <v>2</v>
      </c>
      <c r="F144" s="186">
        <v>5</v>
      </c>
      <c r="G144" s="186">
        <f>D144*E144*F144</f>
        <v>100</v>
      </c>
      <c r="H144" s="192" t="s">
        <v>43</v>
      </c>
      <c r="I144" s="186"/>
    </row>
    <row r="145" spans="1:12" s="164" customFormat="1" hidden="1" x14ac:dyDescent="0.25">
      <c r="A145" s="212"/>
      <c r="B145" s="137"/>
      <c r="C145" s="161" t="s">
        <v>110</v>
      </c>
      <c r="D145" s="167"/>
      <c r="E145" s="139"/>
      <c r="F145" s="169"/>
      <c r="G145" s="186">
        <f>SUM(G143:G144)</f>
        <v>112.5</v>
      </c>
      <c r="H145" s="169" t="s">
        <v>43</v>
      </c>
      <c r="I145" s="186"/>
    </row>
    <row r="146" spans="1:12" s="164" customFormat="1" hidden="1" x14ac:dyDescent="0.25">
      <c r="A146" s="212"/>
      <c r="B146" s="137"/>
      <c r="C146" s="138"/>
      <c r="D146" s="167"/>
      <c r="E146" s="139"/>
      <c r="F146" s="169"/>
      <c r="G146" s="169"/>
      <c r="H146" s="169"/>
      <c r="I146" s="169"/>
    </row>
    <row r="147" spans="1:12" s="164" customFormat="1" ht="25.5" hidden="1" x14ac:dyDescent="0.25">
      <c r="A147" s="212" t="s">
        <v>7</v>
      </c>
      <c r="B147" s="137" t="s">
        <v>34</v>
      </c>
      <c r="C147" s="138" t="s">
        <v>33</v>
      </c>
      <c r="D147" s="141"/>
      <c r="E147" s="139"/>
      <c r="F147" s="169"/>
      <c r="G147" s="162" t="s">
        <v>107</v>
      </c>
      <c r="H147" s="165" t="s">
        <v>147</v>
      </c>
      <c r="I147" s="169"/>
    </row>
    <row r="148" spans="1:12" s="164" customFormat="1" hidden="1" x14ac:dyDescent="0.25">
      <c r="A148" s="212"/>
      <c r="B148" s="137"/>
      <c r="C148" s="138" t="s">
        <v>121</v>
      </c>
      <c r="D148" s="141"/>
      <c r="E148" s="139"/>
      <c r="F148" s="169"/>
      <c r="G148" s="186">
        <f>10*3*1.8</f>
        <v>54</v>
      </c>
      <c r="H148" s="169" t="s">
        <v>67</v>
      </c>
      <c r="I148" s="169"/>
    </row>
    <row r="149" spans="1:12" s="164" customFormat="1" hidden="1" x14ac:dyDescent="0.25">
      <c r="A149" s="212"/>
      <c r="B149" s="137"/>
      <c r="C149" s="138" t="s">
        <v>142</v>
      </c>
      <c r="D149" s="141"/>
      <c r="E149" s="139"/>
      <c r="F149" s="169"/>
      <c r="G149" s="186">
        <f>10*0.5</f>
        <v>5</v>
      </c>
      <c r="H149" s="169" t="s">
        <v>67</v>
      </c>
      <c r="I149" s="169"/>
    </row>
    <row r="150" spans="1:12" s="164" customFormat="1" hidden="1" x14ac:dyDescent="0.25">
      <c r="A150" s="212"/>
      <c r="B150" s="137"/>
      <c r="C150" s="138"/>
      <c r="D150" s="141"/>
      <c r="E150" s="139"/>
      <c r="F150" s="169"/>
      <c r="G150" s="186">
        <f>SUM(G148:G149)</f>
        <v>59</v>
      </c>
      <c r="H150" s="169" t="s">
        <v>67</v>
      </c>
      <c r="I150" s="169"/>
    </row>
    <row r="151" spans="1:12" s="164" customFormat="1" hidden="1" x14ac:dyDescent="0.25">
      <c r="A151" s="212"/>
      <c r="B151" s="137"/>
      <c r="C151" s="138"/>
      <c r="D151" s="141"/>
      <c r="E151" s="139"/>
      <c r="F151" s="169"/>
      <c r="G151" s="169"/>
      <c r="H151" s="169"/>
      <c r="I151" s="169"/>
    </row>
    <row r="152" spans="1:12" s="164" customFormat="1" ht="25.5" hidden="1" x14ac:dyDescent="0.25">
      <c r="A152" s="212" t="s">
        <v>39</v>
      </c>
      <c r="B152" s="160" t="s">
        <v>36</v>
      </c>
      <c r="C152" s="168" t="s">
        <v>35</v>
      </c>
      <c r="D152" s="162" t="s">
        <v>107</v>
      </c>
      <c r="E152" s="163" t="s">
        <v>109</v>
      </c>
      <c r="F152" s="191" t="s">
        <v>108</v>
      </c>
      <c r="G152" s="162" t="s">
        <v>124</v>
      </c>
      <c r="H152" s="165" t="s">
        <v>147</v>
      </c>
      <c r="I152" s="170"/>
    </row>
    <row r="153" spans="1:12" s="164" customFormat="1" hidden="1" x14ac:dyDescent="0.25">
      <c r="A153" s="212"/>
      <c r="B153" s="160"/>
      <c r="C153" s="161" t="s">
        <v>128</v>
      </c>
      <c r="D153" s="158">
        <v>10</v>
      </c>
      <c r="E153" s="158">
        <v>0.4</v>
      </c>
      <c r="F153" s="158">
        <v>5</v>
      </c>
      <c r="G153" s="186">
        <f>F153*E153*D153</f>
        <v>20</v>
      </c>
      <c r="H153" s="169" t="s">
        <v>43</v>
      </c>
      <c r="I153" s="170"/>
    </row>
    <row r="154" spans="1:12" s="164" customFormat="1" hidden="1" x14ac:dyDescent="0.25">
      <c r="A154" s="212"/>
      <c r="B154" s="160"/>
      <c r="C154" s="168"/>
      <c r="D154" s="167"/>
      <c r="E154" s="139"/>
      <c r="F154" s="169"/>
      <c r="G154" s="169"/>
      <c r="H154" s="169"/>
      <c r="I154" s="170"/>
    </row>
    <row r="155" spans="1:12" s="164" customFormat="1" hidden="1" x14ac:dyDescent="0.25">
      <c r="A155" s="213"/>
      <c r="B155" s="184"/>
      <c r="C155" s="197"/>
      <c r="D155" s="167"/>
      <c r="E155" s="185"/>
      <c r="F155" s="191"/>
      <c r="G155" s="191"/>
      <c r="H155" s="191"/>
      <c r="I155" s="170"/>
    </row>
    <row r="156" spans="1:12" s="164" customFormat="1" ht="9" hidden="1" customHeight="1" x14ac:dyDescent="0.25">
      <c r="A156" s="211"/>
      <c r="B156" s="178"/>
      <c r="C156" s="179"/>
      <c r="D156" s="193"/>
      <c r="E156" s="189"/>
      <c r="F156" s="196"/>
      <c r="G156" s="196"/>
      <c r="H156" s="196"/>
      <c r="I156" s="190"/>
    </row>
    <row r="157" spans="1:12" s="164" customFormat="1" hidden="1" x14ac:dyDescent="0.25">
      <c r="A157" s="258" t="s">
        <v>88</v>
      </c>
      <c r="B157" s="259"/>
      <c r="C157" s="259"/>
      <c r="D157" s="259"/>
      <c r="E157" s="259"/>
      <c r="F157" s="259"/>
      <c r="G157" s="198"/>
      <c r="H157" s="198"/>
      <c r="I157" s="199"/>
    </row>
    <row r="158" spans="1:12" s="164" customFormat="1" hidden="1" x14ac:dyDescent="0.25">
      <c r="A158" s="211"/>
      <c r="B158" s="178"/>
      <c r="C158" s="179" t="s">
        <v>89</v>
      </c>
      <c r="D158" s="180"/>
      <c r="E158" s="180"/>
      <c r="F158" s="180"/>
      <c r="G158" s="180"/>
      <c r="H158" s="180"/>
      <c r="I158" s="181"/>
    </row>
    <row r="159" spans="1:12" s="164" customFormat="1" hidden="1" x14ac:dyDescent="0.25">
      <c r="A159" s="211">
        <v>1</v>
      </c>
      <c r="B159" s="178"/>
      <c r="C159" s="179" t="s">
        <v>2</v>
      </c>
      <c r="D159" s="180"/>
      <c r="E159" s="180"/>
      <c r="F159" s="180"/>
      <c r="G159" s="180"/>
      <c r="H159" s="180"/>
      <c r="I159" s="181"/>
    </row>
    <row r="160" spans="1:12" s="164" customFormat="1" ht="25.5" hidden="1" x14ac:dyDescent="0.25">
      <c r="A160" s="212" t="s">
        <v>3</v>
      </c>
      <c r="B160" s="160" t="s">
        <v>81</v>
      </c>
      <c r="C160" s="182" t="s">
        <v>80</v>
      </c>
      <c r="D160" s="167"/>
      <c r="E160" s="185"/>
      <c r="F160" s="162" t="s">
        <v>107</v>
      </c>
      <c r="G160" s="162" t="s">
        <v>109</v>
      </c>
      <c r="H160" s="162" t="s">
        <v>125</v>
      </c>
      <c r="I160" s="183" t="s">
        <v>147</v>
      </c>
      <c r="K160" s="256"/>
      <c r="L160" s="257"/>
    </row>
    <row r="161" spans="1:12" s="164" customFormat="1" hidden="1" x14ac:dyDescent="0.25">
      <c r="A161" s="213"/>
      <c r="B161" s="184"/>
      <c r="C161" s="197"/>
      <c r="D161" s="167"/>
      <c r="E161" s="185"/>
      <c r="F161" s="186">
        <v>2</v>
      </c>
      <c r="G161" s="186">
        <v>1.25</v>
      </c>
      <c r="H161" s="186">
        <f>F161*G161</f>
        <v>2.5</v>
      </c>
      <c r="I161" s="170" t="s">
        <v>43</v>
      </c>
      <c r="K161" s="187"/>
      <c r="L161" s="188"/>
    </row>
    <row r="162" spans="1:12" s="164" customFormat="1" ht="13.5" hidden="1" customHeight="1" x14ac:dyDescent="0.25">
      <c r="A162" s="213"/>
      <c r="B162" s="184"/>
      <c r="C162" s="197"/>
      <c r="D162" s="167"/>
      <c r="E162" s="185"/>
      <c r="F162" s="186"/>
      <c r="G162" s="186"/>
      <c r="H162" s="186"/>
      <c r="I162" s="170"/>
      <c r="K162" s="187"/>
      <c r="L162" s="188"/>
    </row>
    <row r="163" spans="1:12" s="164" customFormat="1" hidden="1" x14ac:dyDescent="0.25">
      <c r="A163" s="211">
        <v>2</v>
      </c>
      <c r="B163" s="178"/>
      <c r="C163" s="179" t="s">
        <v>38</v>
      </c>
      <c r="D163" s="180"/>
      <c r="E163" s="189"/>
      <c r="F163" s="190"/>
      <c r="G163" s="190"/>
      <c r="H163" s="190"/>
      <c r="I163" s="190"/>
    </row>
    <row r="164" spans="1:12" s="164" customFormat="1" ht="25.5" hidden="1" x14ac:dyDescent="0.25">
      <c r="A164" s="212" t="s">
        <v>16</v>
      </c>
      <c r="B164" s="160" t="s">
        <v>28</v>
      </c>
      <c r="C164" s="161" t="s">
        <v>27</v>
      </c>
      <c r="D164" s="162" t="s">
        <v>107</v>
      </c>
      <c r="E164" s="163" t="s">
        <v>109</v>
      </c>
      <c r="F164" s="191" t="s">
        <v>108</v>
      </c>
      <c r="G164" s="191" t="s">
        <v>124</v>
      </c>
      <c r="H164" s="195" t="s">
        <v>147</v>
      </c>
      <c r="I164" s="170"/>
    </row>
    <row r="165" spans="1:12" s="164" customFormat="1" hidden="1" x14ac:dyDescent="0.25">
      <c r="A165" s="212"/>
      <c r="B165" s="160"/>
      <c r="C165" s="161" t="s">
        <v>129</v>
      </c>
      <c r="D165" s="186">
        <v>13.5</v>
      </c>
      <c r="E165" s="186">
        <v>2.5</v>
      </c>
      <c r="F165" s="186">
        <v>0.5</v>
      </c>
      <c r="G165" s="186">
        <f>F165*E165*D165</f>
        <v>16.875</v>
      </c>
      <c r="H165" s="192" t="s">
        <v>43</v>
      </c>
      <c r="I165" s="186"/>
    </row>
    <row r="166" spans="1:12" s="164" customFormat="1" hidden="1" x14ac:dyDescent="0.25">
      <c r="A166" s="212"/>
      <c r="B166" s="160"/>
      <c r="C166" s="161"/>
      <c r="D166" s="186">
        <v>13.5</v>
      </c>
      <c r="E166" s="186">
        <v>1</v>
      </c>
      <c r="F166" s="186">
        <v>6</v>
      </c>
      <c r="G166" s="186">
        <f>F166*E166*D166</f>
        <v>81</v>
      </c>
      <c r="H166" s="192" t="s">
        <v>43</v>
      </c>
      <c r="I166" s="186"/>
    </row>
    <row r="167" spans="1:12" s="164" customFormat="1" hidden="1" x14ac:dyDescent="0.25">
      <c r="A167" s="212"/>
      <c r="B167" s="160"/>
      <c r="C167" s="161" t="s">
        <v>110</v>
      </c>
      <c r="D167" s="186"/>
      <c r="E167" s="186"/>
      <c r="F167" s="186"/>
      <c r="G167" s="186">
        <f>SUM(G165:G166)</f>
        <v>97.875</v>
      </c>
      <c r="H167" s="192" t="s">
        <v>43</v>
      </c>
      <c r="I167" s="186"/>
    </row>
    <row r="168" spans="1:12" s="164" customFormat="1" hidden="1" x14ac:dyDescent="0.25">
      <c r="A168" s="212"/>
      <c r="B168" s="160"/>
      <c r="C168" s="161"/>
      <c r="D168" s="167"/>
      <c r="E168" s="185"/>
      <c r="F168" s="169"/>
      <c r="G168" s="169"/>
      <c r="H168" s="169"/>
      <c r="I168" s="170"/>
    </row>
    <row r="169" spans="1:12" s="164" customFormat="1" ht="27.75" hidden="1" customHeight="1" x14ac:dyDescent="0.25">
      <c r="A169" s="212" t="s">
        <v>17</v>
      </c>
      <c r="B169" s="160" t="s">
        <v>65</v>
      </c>
      <c r="C169" s="168" t="s">
        <v>63</v>
      </c>
      <c r="D169" s="162" t="s">
        <v>107</v>
      </c>
      <c r="E169" s="163" t="s">
        <v>109</v>
      </c>
      <c r="F169" s="191" t="s">
        <v>108</v>
      </c>
      <c r="G169" s="191" t="s">
        <v>124</v>
      </c>
      <c r="H169" s="183" t="s">
        <v>147</v>
      </c>
      <c r="I169" s="170"/>
    </row>
    <row r="170" spans="1:12" s="164" customFormat="1" hidden="1" x14ac:dyDescent="0.25">
      <c r="A170" s="212"/>
      <c r="B170" s="160"/>
      <c r="C170" s="161" t="s">
        <v>129</v>
      </c>
      <c r="D170" s="186">
        <v>13.5</v>
      </c>
      <c r="E170" s="186">
        <v>0.5</v>
      </c>
      <c r="F170" s="186">
        <v>6</v>
      </c>
      <c r="G170" s="186">
        <f>F170*E170*D170</f>
        <v>40.5</v>
      </c>
      <c r="H170" s="192" t="s">
        <v>43</v>
      </c>
      <c r="I170" s="186"/>
    </row>
    <row r="171" spans="1:12" s="164" customFormat="1" hidden="1" x14ac:dyDescent="0.25">
      <c r="A171" s="212"/>
      <c r="B171" s="160"/>
      <c r="C171" s="161"/>
      <c r="D171" s="167"/>
      <c r="E171" s="185"/>
      <c r="F171" s="169"/>
      <c r="G171" s="169"/>
      <c r="H171" s="169"/>
      <c r="I171" s="170"/>
    </row>
    <row r="172" spans="1:12" s="164" customFormat="1" ht="25.5" hidden="1" x14ac:dyDescent="0.25">
      <c r="A172" s="212" t="s">
        <v>18</v>
      </c>
      <c r="B172" s="160" t="s">
        <v>66</v>
      </c>
      <c r="C172" s="168" t="s">
        <v>64</v>
      </c>
      <c r="D172" s="162"/>
      <c r="E172" s="162" t="s">
        <v>107</v>
      </c>
      <c r="F172" s="163" t="s">
        <v>109</v>
      </c>
      <c r="G172" s="163" t="s">
        <v>125</v>
      </c>
      <c r="H172" s="169"/>
      <c r="I172" s="170"/>
    </row>
    <row r="173" spans="1:12" s="164" customFormat="1" hidden="1" x14ac:dyDescent="0.25">
      <c r="A173" s="212"/>
      <c r="B173" s="160"/>
      <c r="C173" s="161" t="s">
        <v>129</v>
      </c>
      <c r="D173" s="186"/>
      <c r="E173" s="186">
        <v>13.5</v>
      </c>
      <c r="F173" s="186">
        <v>2.5</v>
      </c>
      <c r="G173" s="186">
        <f>F173*E173</f>
        <v>33.75</v>
      </c>
      <c r="H173" s="192" t="s">
        <v>4</v>
      </c>
      <c r="I173" s="186"/>
    </row>
    <row r="174" spans="1:12" s="164" customFormat="1" hidden="1" x14ac:dyDescent="0.25">
      <c r="A174" s="212"/>
      <c r="B174" s="160"/>
      <c r="C174" s="161"/>
      <c r="D174" s="186"/>
      <c r="E174" s="186"/>
      <c r="F174" s="186"/>
      <c r="G174" s="192"/>
      <c r="H174" s="186"/>
      <c r="I174" s="186"/>
    </row>
    <row r="175" spans="1:12" s="164" customFormat="1" hidden="1" x14ac:dyDescent="0.25">
      <c r="A175" s="213"/>
      <c r="B175" s="184"/>
      <c r="C175" s="197"/>
      <c r="D175" s="167"/>
      <c r="E175" s="185"/>
      <c r="F175" s="191"/>
      <c r="G175" s="191"/>
      <c r="H175" s="191"/>
      <c r="I175" s="170"/>
    </row>
    <row r="176" spans="1:12" s="164" customFormat="1" hidden="1" x14ac:dyDescent="0.25">
      <c r="A176" s="211">
        <v>3</v>
      </c>
      <c r="B176" s="178"/>
      <c r="C176" s="179" t="s">
        <v>26</v>
      </c>
      <c r="D176" s="193"/>
      <c r="E176" s="189"/>
      <c r="F176" s="190"/>
      <c r="G176" s="190"/>
      <c r="H176" s="190"/>
      <c r="I176" s="190"/>
    </row>
    <row r="177" spans="1:9" s="164" customFormat="1" ht="38.25" hidden="1" x14ac:dyDescent="0.25">
      <c r="A177" s="212" t="s">
        <v>5</v>
      </c>
      <c r="B177" s="160" t="s">
        <v>30</v>
      </c>
      <c r="C177" s="168" t="s">
        <v>29</v>
      </c>
      <c r="D177" s="163" t="s">
        <v>107</v>
      </c>
      <c r="E177" s="163" t="s">
        <v>108</v>
      </c>
      <c r="F177" s="163" t="s">
        <v>111</v>
      </c>
      <c r="G177" s="163" t="s">
        <v>125</v>
      </c>
      <c r="H177" s="183" t="s">
        <v>147</v>
      </c>
      <c r="I177" s="170"/>
    </row>
    <row r="178" spans="1:9" s="164" customFormat="1" hidden="1" x14ac:dyDescent="0.25">
      <c r="A178" s="212"/>
      <c r="B178" s="160"/>
      <c r="C178" s="161" t="s">
        <v>129</v>
      </c>
      <c r="D178" s="186">
        <v>13.5</v>
      </c>
      <c r="E178" s="186">
        <v>6</v>
      </c>
      <c r="F178" s="186">
        <v>2</v>
      </c>
      <c r="G178" s="192">
        <f>D178*E178</f>
        <v>81</v>
      </c>
      <c r="H178" s="192" t="s">
        <v>4</v>
      </c>
      <c r="I178" s="186"/>
    </row>
    <row r="179" spans="1:9" s="164" customFormat="1" hidden="1" x14ac:dyDescent="0.25">
      <c r="A179" s="212"/>
      <c r="B179" s="160"/>
      <c r="C179" s="161" t="s">
        <v>110</v>
      </c>
      <c r="D179" s="186"/>
      <c r="E179" s="186"/>
      <c r="F179" s="186"/>
      <c r="G179" s="186"/>
      <c r="H179" s="186"/>
      <c r="I179" s="186"/>
    </row>
    <row r="180" spans="1:9" s="164" customFormat="1" hidden="1" x14ac:dyDescent="0.25">
      <c r="A180" s="212"/>
      <c r="B180" s="160"/>
      <c r="C180" s="168"/>
      <c r="D180" s="167"/>
      <c r="E180" s="139"/>
      <c r="F180" s="169"/>
      <c r="G180" s="169"/>
      <c r="H180" s="169"/>
      <c r="I180" s="170"/>
    </row>
    <row r="181" spans="1:9" s="164" customFormat="1" ht="25.5" hidden="1" x14ac:dyDescent="0.25">
      <c r="A181" s="212" t="s">
        <v>6</v>
      </c>
      <c r="B181" s="137" t="s">
        <v>32</v>
      </c>
      <c r="C181" s="138" t="s">
        <v>31</v>
      </c>
      <c r="D181" s="162" t="s">
        <v>107</v>
      </c>
      <c r="E181" s="163" t="s">
        <v>109</v>
      </c>
      <c r="F181" s="191" t="s">
        <v>108</v>
      </c>
      <c r="G181" s="191" t="s">
        <v>124</v>
      </c>
      <c r="H181" s="183" t="s">
        <v>147</v>
      </c>
      <c r="I181" s="169"/>
    </row>
    <row r="182" spans="1:9" s="164" customFormat="1" hidden="1" x14ac:dyDescent="0.25">
      <c r="A182" s="212"/>
      <c r="B182" s="137"/>
      <c r="C182" s="161" t="s">
        <v>129</v>
      </c>
      <c r="D182" s="186">
        <v>13.5</v>
      </c>
      <c r="E182" s="186">
        <v>2.5</v>
      </c>
      <c r="F182" s="186">
        <v>0.5</v>
      </c>
      <c r="G182" s="186">
        <f>F182*E182*D182</f>
        <v>16.875</v>
      </c>
      <c r="H182" s="169" t="s">
        <v>43</v>
      </c>
      <c r="I182" s="186"/>
    </row>
    <row r="183" spans="1:9" s="164" customFormat="1" hidden="1" x14ac:dyDescent="0.25">
      <c r="A183" s="212"/>
      <c r="B183" s="137"/>
      <c r="D183" s="186">
        <v>13.5</v>
      </c>
      <c r="E183" s="186">
        <v>1.5</v>
      </c>
      <c r="F183" s="186">
        <v>5</v>
      </c>
      <c r="G183" s="186">
        <f>F183*E183*D183</f>
        <v>101.25</v>
      </c>
      <c r="H183" s="169" t="s">
        <v>43</v>
      </c>
      <c r="I183" s="186"/>
    </row>
    <row r="184" spans="1:9" s="164" customFormat="1" hidden="1" x14ac:dyDescent="0.25">
      <c r="A184" s="212"/>
      <c r="B184" s="137"/>
      <c r="C184" s="161" t="s">
        <v>110</v>
      </c>
      <c r="D184" s="167"/>
      <c r="E184" s="139"/>
      <c r="F184" s="169"/>
      <c r="G184" s="186">
        <f>SUM(G182:G183)</f>
        <v>118.125</v>
      </c>
      <c r="H184" s="169" t="s">
        <v>43</v>
      </c>
      <c r="I184" s="186"/>
    </row>
    <row r="185" spans="1:9" s="164" customFormat="1" hidden="1" x14ac:dyDescent="0.25">
      <c r="A185" s="212"/>
      <c r="B185" s="137"/>
      <c r="C185" s="138"/>
      <c r="D185" s="167"/>
      <c r="E185" s="139"/>
      <c r="F185" s="169"/>
      <c r="G185" s="169"/>
      <c r="H185" s="169"/>
      <c r="I185" s="169"/>
    </row>
    <row r="186" spans="1:9" s="164" customFormat="1" ht="25.5" hidden="1" x14ac:dyDescent="0.25">
      <c r="A186" s="212" t="s">
        <v>7</v>
      </c>
      <c r="B186" s="137" t="s">
        <v>34</v>
      </c>
      <c r="C186" s="138" t="s">
        <v>33</v>
      </c>
      <c r="D186" s="141"/>
      <c r="E186" s="139"/>
      <c r="F186" s="139"/>
      <c r="G186" s="162" t="s">
        <v>107</v>
      </c>
      <c r="H186" s="183" t="s">
        <v>147</v>
      </c>
      <c r="I186" s="169"/>
    </row>
    <row r="187" spans="1:9" s="164" customFormat="1" hidden="1" x14ac:dyDescent="0.25">
      <c r="A187" s="212"/>
      <c r="B187" s="137"/>
      <c r="C187" s="138" t="s">
        <v>130</v>
      </c>
      <c r="D187" s="141"/>
      <c r="E187" s="139"/>
      <c r="F187" s="139"/>
      <c r="G187" s="186">
        <f>13*3*2.4</f>
        <v>93.6</v>
      </c>
      <c r="H187" s="200" t="s">
        <v>67</v>
      </c>
      <c r="I187" s="186"/>
    </row>
    <row r="188" spans="1:9" s="164" customFormat="1" hidden="1" x14ac:dyDescent="0.25">
      <c r="A188" s="212"/>
      <c r="B188" s="137"/>
      <c r="C188" s="138" t="s">
        <v>143</v>
      </c>
      <c r="D188" s="141"/>
      <c r="E188" s="139"/>
      <c r="F188" s="139"/>
      <c r="G188" s="186">
        <f>13*0.5</f>
        <v>6.5</v>
      </c>
      <c r="H188" s="169" t="s">
        <v>67</v>
      </c>
      <c r="I188" s="186"/>
    </row>
    <row r="189" spans="1:9" s="164" customFormat="1" hidden="1" x14ac:dyDescent="0.25">
      <c r="A189" s="212"/>
      <c r="B189" s="137"/>
      <c r="C189" s="138"/>
      <c r="D189" s="141"/>
      <c r="E189" s="139"/>
      <c r="F189" s="139"/>
      <c r="G189" s="186">
        <f>SUM(G187:G188)</f>
        <v>100.1</v>
      </c>
      <c r="H189" s="169" t="s">
        <v>67</v>
      </c>
      <c r="I189" s="186"/>
    </row>
    <row r="190" spans="1:9" s="164" customFormat="1" hidden="1" x14ac:dyDescent="0.25">
      <c r="A190" s="212"/>
      <c r="B190" s="137"/>
      <c r="C190" s="138"/>
      <c r="D190" s="141"/>
      <c r="E190" s="139"/>
      <c r="F190" s="139"/>
      <c r="G190" s="169"/>
      <c r="H190" s="169"/>
      <c r="I190" s="169"/>
    </row>
    <row r="191" spans="1:9" s="164" customFormat="1" ht="25.5" hidden="1" x14ac:dyDescent="0.25">
      <c r="A191" s="212" t="s">
        <v>39</v>
      </c>
      <c r="B191" s="160" t="s">
        <v>36</v>
      </c>
      <c r="C191" s="168" t="s">
        <v>35</v>
      </c>
      <c r="D191" s="162"/>
      <c r="E191" s="162" t="s">
        <v>107</v>
      </c>
      <c r="F191" s="163" t="s">
        <v>109</v>
      </c>
      <c r="G191" s="191" t="s">
        <v>124</v>
      </c>
      <c r="H191" s="183" t="s">
        <v>147</v>
      </c>
      <c r="I191" s="170"/>
    </row>
    <row r="192" spans="1:9" s="164" customFormat="1" hidden="1" x14ac:dyDescent="0.25">
      <c r="A192" s="212"/>
      <c r="B192" s="160"/>
      <c r="C192" s="161" t="s">
        <v>129</v>
      </c>
      <c r="D192" s="158"/>
      <c r="E192" s="158">
        <v>13.5</v>
      </c>
      <c r="F192" s="158">
        <v>2.5</v>
      </c>
      <c r="G192" s="186">
        <f>E192*F192</f>
        <v>33.75</v>
      </c>
      <c r="H192" s="169" t="s">
        <v>43</v>
      </c>
      <c r="I192" s="186"/>
    </row>
    <row r="193" spans="1:9" s="164" customFormat="1" hidden="1" x14ac:dyDescent="0.25">
      <c r="A193" s="212"/>
      <c r="B193" s="160"/>
      <c r="C193" s="168"/>
      <c r="D193" s="167"/>
      <c r="E193" s="139"/>
      <c r="F193" s="169"/>
      <c r="G193" s="169"/>
      <c r="H193" s="169"/>
      <c r="I193" s="170"/>
    </row>
    <row r="194" spans="1:9" s="164" customFormat="1" hidden="1" x14ac:dyDescent="0.25">
      <c r="A194" s="213"/>
      <c r="B194" s="184"/>
      <c r="C194" s="197"/>
      <c r="D194" s="167"/>
      <c r="E194" s="185"/>
      <c r="F194" s="191"/>
      <c r="G194" s="191"/>
      <c r="H194" s="191"/>
      <c r="I194" s="170"/>
    </row>
    <row r="195" spans="1:9" s="164" customFormat="1" hidden="1" x14ac:dyDescent="0.25">
      <c r="A195" s="211">
        <v>4</v>
      </c>
      <c r="B195" s="178"/>
      <c r="C195" s="179" t="s">
        <v>41</v>
      </c>
      <c r="D195" s="193"/>
      <c r="E195" s="189"/>
      <c r="F195" s="190"/>
      <c r="G195" s="190"/>
      <c r="H195" s="190"/>
      <c r="I195" s="190"/>
    </row>
    <row r="196" spans="1:9" s="164" customFormat="1" ht="51" hidden="1" x14ac:dyDescent="0.25">
      <c r="A196" s="212" t="s">
        <v>49</v>
      </c>
      <c r="B196" s="160" t="s">
        <v>78</v>
      </c>
      <c r="C196" s="168" t="s">
        <v>79</v>
      </c>
      <c r="D196" s="162" t="s">
        <v>107</v>
      </c>
      <c r="E196" s="163" t="s">
        <v>109</v>
      </c>
      <c r="F196" s="191" t="s">
        <v>108</v>
      </c>
      <c r="G196" s="191" t="s">
        <v>114</v>
      </c>
      <c r="H196" s="191" t="s">
        <v>125</v>
      </c>
      <c r="I196" s="183" t="s">
        <v>147</v>
      </c>
    </row>
    <row r="197" spans="1:9" s="164" customFormat="1" hidden="1" x14ac:dyDescent="0.25">
      <c r="A197" s="212"/>
      <c r="B197" s="160"/>
      <c r="C197" s="168" t="s">
        <v>131</v>
      </c>
      <c r="D197" s="162"/>
      <c r="E197" s="163"/>
      <c r="F197" s="191"/>
      <c r="G197" s="191"/>
      <c r="H197" s="191"/>
      <c r="I197" s="169"/>
    </row>
    <row r="198" spans="1:9" s="164" customFormat="1" hidden="1" x14ac:dyDescent="0.25">
      <c r="A198" s="212"/>
      <c r="B198" s="160"/>
      <c r="C198" s="168" t="s">
        <v>118</v>
      </c>
      <c r="D198" s="158">
        <f>1+5.34</f>
        <v>6.34</v>
      </c>
      <c r="E198" s="158">
        <v>1.3</v>
      </c>
      <c r="F198" s="158">
        <v>1</v>
      </c>
      <c r="G198" s="158">
        <v>1</v>
      </c>
      <c r="H198" s="158">
        <f>(D198*E198*F198*G198)</f>
        <v>8.2420000000000009</v>
      </c>
      <c r="I198" s="169" t="s">
        <v>4</v>
      </c>
    </row>
    <row r="199" spans="1:9" s="164" customFormat="1" hidden="1" x14ac:dyDescent="0.25">
      <c r="A199" s="212"/>
      <c r="B199" s="160"/>
      <c r="C199" s="168" t="s">
        <v>117</v>
      </c>
      <c r="D199" s="158">
        <v>1</v>
      </c>
      <c r="E199" s="158">
        <v>1</v>
      </c>
      <c r="F199" s="158">
        <v>0.18</v>
      </c>
      <c r="G199" s="158">
        <v>17</v>
      </c>
      <c r="H199" s="158">
        <f>(D199*E199*F199*G199)</f>
        <v>3.06</v>
      </c>
      <c r="I199" s="169" t="s">
        <v>4</v>
      </c>
    </row>
    <row r="200" spans="1:9" s="164" customFormat="1" hidden="1" x14ac:dyDescent="0.25">
      <c r="A200" s="212"/>
      <c r="B200" s="160"/>
      <c r="C200" s="168" t="s">
        <v>112</v>
      </c>
      <c r="D200" s="158">
        <v>0.15</v>
      </c>
      <c r="E200" s="158">
        <v>0.3</v>
      </c>
      <c r="F200" s="158">
        <v>3.4</v>
      </c>
      <c r="G200" s="158">
        <v>2</v>
      </c>
      <c r="H200" s="158">
        <f>(D200+E200)*2*F200</f>
        <v>3.0599999999999996</v>
      </c>
      <c r="I200" s="169" t="s">
        <v>4</v>
      </c>
    </row>
    <row r="201" spans="1:9" s="164" customFormat="1" hidden="1" x14ac:dyDescent="0.25">
      <c r="A201" s="212"/>
      <c r="B201" s="160"/>
      <c r="C201" s="168" t="s">
        <v>119</v>
      </c>
      <c r="D201" s="158">
        <v>1</v>
      </c>
      <c r="E201" s="158">
        <v>0.15</v>
      </c>
      <c r="F201" s="158">
        <v>0.3</v>
      </c>
      <c r="G201" s="158">
        <v>4</v>
      </c>
      <c r="H201" s="158">
        <f>D201*(E201+F201+F201)*G201</f>
        <v>3</v>
      </c>
      <c r="I201" s="169" t="s">
        <v>4</v>
      </c>
    </row>
    <row r="202" spans="1:9" s="164" customFormat="1" hidden="1" x14ac:dyDescent="0.25">
      <c r="A202" s="212"/>
      <c r="B202" s="160"/>
      <c r="C202" s="168" t="s">
        <v>132</v>
      </c>
      <c r="D202" s="162"/>
      <c r="E202" s="163"/>
      <c r="F202" s="191"/>
      <c r="G202" s="191"/>
      <c r="H202" s="191"/>
      <c r="I202" s="169"/>
    </row>
    <row r="203" spans="1:9" s="164" customFormat="1" hidden="1" x14ac:dyDescent="0.25">
      <c r="A203" s="212"/>
      <c r="B203" s="160"/>
      <c r="C203" s="168" t="s">
        <v>118</v>
      </c>
      <c r="D203" s="158">
        <f>2.78+1</f>
        <v>3.78</v>
      </c>
      <c r="E203" s="158">
        <v>1.3</v>
      </c>
      <c r="F203" s="158">
        <v>1</v>
      </c>
      <c r="G203" s="158">
        <v>1</v>
      </c>
      <c r="H203" s="158">
        <f>(D203*E203*F203*G203)</f>
        <v>4.9139999999999997</v>
      </c>
      <c r="I203" s="169" t="s">
        <v>4</v>
      </c>
    </row>
    <row r="204" spans="1:9" s="164" customFormat="1" hidden="1" x14ac:dyDescent="0.25">
      <c r="A204" s="212"/>
      <c r="B204" s="160"/>
      <c r="C204" s="168" t="s">
        <v>117</v>
      </c>
      <c r="D204" s="158">
        <v>1</v>
      </c>
      <c r="E204" s="158">
        <v>1</v>
      </c>
      <c r="F204" s="158">
        <v>0.18</v>
      </c>
      <c r="G204" s="158">
        <v>9</v>
      </c>
      <c r="H204" s="158">
        <f>(D204*E204*F204*G204)</f>
        <v>1.6199999999999999</v>
      </c>
      <c r="I204" s="169" t="s">
        <v>4</v>
      </c>
    </row>
    <row r="205" spans="1:9" s="164" customFormat="1" hidden="1" x14ac:dyDescent="0.25">
      <c r="A205" s="212"/>
      <c r="B205" s="160"/>
      <c r="C205" s="168" t="s">
        <v>112</v>
      </c>
      <c r="D205" s="158">
        <v>0.15</v>
      </c>
      <c r="E205" s="158">
        <v>0.3</v>
      </c>
      <c r="F205" s="158">
        <v>4.3</v>
      </c>
      <c r="G205" s="158">
        <v>2</v>
      </c>
      <c r="H205" s="158">
        <f>(D205+E205)*2*F205</f>
        <v>3.8699999999999997</v>
      </c>
      <c r="I205" s="169" t="s">
        <v>4</v>
      </c>
    </row>
    <row r="206" spans="1:9" s="164" customFormat="1" hidden="1" x14ac:dyDescent="0.25">
      <c r="A206" s="212"/>
      <c r="B206" s="160"/>
      <c r="C206" s="168" t="s">
        <v>119</v>
      </c>
      <c r="D206" s="158">
        <v>1</v>
      </c>
      <c r="E206" s="158">
        <v>0.15</v>
      </c>
      <c r="F206" s="158">
        <v>0.3</v>
      </c>
      <c r="G206" s="158">
        <v>4</v>
      </c>
      <c r="H206" s="158">
        <f>D206*(E206+F206+F206)*G206</f>
        <v>3</v>
      </c>
      <c r="I206" s="169" t="s">
        <v>4</v>
      </c>
    </row>
    <row r="207" spans="1:9" s="164" customFormat="1" hidden="1" x14ac:dyDescent="0.25">
      <c r="A207" s="212"/>
      <c r="B207" s="160"/>
      <c r="C207" s="168" t="s">
        <v>133</v>
      </c>
      <c r="D207" s="162"/>
      <c r="E207" s="163"/>
      <c r="F207" s="191"/>
      <c r="G207" s="191"/>
      <c r="H207" s="191"/>
      <c r="I207" s="169"/>
    </row>
    <row r="208" spans="1:9" s="164" customFormat="1" hidden="1" x14ac:dyDescent="0.25">
      <c r="A208" s="212"/>
      <c r="B208" s="160"/>
      <c r="C208" s="168" t="s">
        <v>118</v>
      </c>
      <c r="D208" s="158">
        <f>1+1</f>
        <v>2</v>
      </c>
      <c r="E208" s="158">
        <v>1.3</v>
      </c>
      <c r="F208" s="158">
        <v>1</v>
      </c>
      <c r="G208" s="158">
        <v>1</v>
      </c>
      <c r="H208" s="158">
        <f>(D208*E208*F208*G208)</f>
        <v>2.6</v>
      </c>
      <c r="I208" s="169" t="s">
        <v>4</v>
      </c>
    </row>
    <row r="209" spans="1:9" s="164" customFormat="1" hidden="1" x14ac:dyDescent="0.25">
      <c r="A209" s="212"/>
      <c r="B209" s="160"/>
      <c r="C209" s="168" t="s">
        <v>117</v>
      </c>
      <c r="D209" s="158">
        <v>1</v>
      </c>
      <c r="E209" s="158">
        <v>1</v>
      </c>
      <c r="F209" s="158">
        <v>0.18</v>
      </c>
      <c r="G209" s="158">
        <v>4</v>
      </c>
      <c r="H209" s="158">
        <f>(D209*E209*F209*G209)</f>
        <v>0.72</v>
      </c>
      <c r="I209" s="169" t="s">
        <v>4</v>
      </c>
    </row>
    <row r="210" spans="1:9" s="164" customFormat="1" hidden="1" x14ac:dyDescent="0.25">
      <c r="A210" s="212"/>
      <c r="B210" s="160"/>
      <c r="C210" s="168" t="s">
        <v>112</v>
      </c>
      <c r="D210" s="158">
        <v>0.15</v>
      </c>
      <c r="E210" s="158">
        <v>0.3</v>
      </c>
      <c r="F210" s="158">
        <v>5</v>
      </c>
      <c r="G210" s="158">
        <v>2</v>
      </c>
      <c r="H210" s="158">
        <f>(D210+E210)*2*F210</f>
        <v>4.5</v>
      </c>
      <c r="I210" s="169" t="s">
        <v>4</v>
      </c>
    </row>
    <row r="211" spans="1:9" s="164" customFormat="1" hidden="1" x14ac:dyDescent="0.25">
      <c r="A211" s="212"/>
      <c r="B211" s="160"/>
      <c r="C211" s="168" t="s">
        <v>119</v>
      </c>
      <c r="D211" s="158">
        <v>1</v>
      </c>
      <c r="E211" s="158">
        <v>0.15</v>
      </c>
      <c r="F211" s="158">
        <v>0.3</v>
      </c>
      <c r="G211" s="158">
        <v>4</v>
      </c>
      <c r="H211" s="158">
        <f>D211*(E211+F211+F211)*G211</f>
        <v>3</v>
      </c>
      <c r="I211" s="169" t="s">
        <v>4</v>
      </c>
    </row>
    <row r="212" spans="1:9" s="164" customFormat="1" hidden="1" x14ac:dyDescent="0.25">
      <c r="A212" s="212"/>
      <c r="B212" s="160"/>
      <c r="C212" s="168" t="s">
        <v>134</v>
      </c>
      <c r="D212" s="162"/>
      <c r="E212" s="163"/>
      <c r="F212" s="191"/>
      <c r="G212" s="191"/>
      <c r="H212" s="191"/>
      <c r="I212" s="169"/>
    </row>
    <row r="213" spans="1:9" s="164" customFormat="1" hidden="1" x14ac:dyDescent="0.25">
      <c r="A213" s="212"/>
      <c r="B213" s="160"/>
      <c r="C213" s="168" t="s">
        <v>118</v>
      </c>
      <c r="D213" s="158">
        <v>1.3</v>
      </c>
      <c r="E213" s="158">
        <v>1.3</v>
      </c>
      <c r="F213" s="158">
        <v>1</v>
      </c>
      <c r="G213" s="158">
        <v>1</v>
      </c>
      <c r="H213" s="158">
        <f>(D213*E213*F213*G213)</f>
        <v>1.6900000000000002</v>
      </c>
      <c r="I213" s="169" t="s">
        <v>4</v>
      </c>
    </row>
    <row r="214" spans="1:9" s="164" customFormat="1" hidden="1" x14ac:dyDescent="0.25">
      <c r="A214" s="212"/>
      <c r="B214" s="160"/>
      <c r="C214" s="168" t="s">
        <v>117</v>
      </c>
      <c r="D214" s="158">
        <v>1</v>
      </c>
      <c r="E214" s="158">
        <v>1</v>
      </c>
      <c r="F214" s="158">
        <v>0.18</v>
      </c>
      <c r="G214" s="158">
        <v>4</v>
      </c>
      <c r="H214" s="158">
        <f>(D214*E214*F214*G214)</f>
        <v>0.72</v>
      </c>
      <c r="I214" s="169" t="s">
        <v>4</v>
      </c>
    </row>
    <row r="215" spans="1:9" s="164" customFormat="1" hidden="1" x14ac:dyDescent="0.25">
      <c r="A215" s="212"/>
      <c r="B215" s="160"/>
      <c r="C215" s="168" t="s">
        <v>112</v>
      </c>
      <c r="D215" s="158">
        <v>0.15</v>
      </c>
      <c r="E215" s="158">
        <v>0.3</v>
      </c>
      <c r="F215" s="158">
        <v>5.49</v>
      </c>
      <c r="G215" s="158">
        <v>2</v>
      </c>
      <c r="H215" s="158">
        <f>(D215+E215)*2*F215</f>
        <v>4.9409999999999998</v>
      </c>
      <c r="I215" s="169" t="s">
        <v>4</v>
      </c>
    </row>
    <row r="216" spans="1:9" s="164" customFormat="1" hidden="1" x14ac:dyDescent="0.25">
      <c r="A216" s="212"/>
      <c r="B216" s="160"/>
      <c r="C216" s="168" t="s">
        <v>119</v>
      </c>
      <c r="D216" s="158">
        <v>1</v>
      </c>
      <c r="E216" s="158">
        <v>0.15</v>
      </c>
      <c r="F216" s="158">
        <v>0.3</v>
      </c>
      <c r="G216" s="158">
        <v>4</v>
      </c>
      <c r="H216" s="158">
        <f>D216*(E216+F216+F216)*G216</f>
        <v>3</v>
      </c>
      <c r="I216" s="169" t="s">
        <v>4</v>
      </c>
    </row>
    <row r="217" spans="1:9" s="164" customFormat="1" hidden="1" x14ac:dyDescent="0.25">
      <c r="A217" s="212"/>
      <c r="B217" s="160"/>
      <c r="C217" s="168" t="s">
        <v>135</v>
      </c>
      <c r="D217" s="158"/>
      <c r="E217" s="158"/>
      <c r="F217" s="158"/>
      <c r="G217" s="158"/>
      <c r="H217" s="158">
        <f>SUM(H198:H216)</f>
        <v>51.937000000000005</v>
      </c>
      <c r="I217" s="169" t="s">
        <v>4</v>
      </c>
    </row>
    <row r="218" spans="1:9" s="164" customFormat="1" hidden="1" x14ac:dyDescent="0.25">
      <c r="A218" s="212"/>
      <c r="B218" s="160"/>
      <c r="C218" s="168"/>
      <c r="D218" s="167"/>
      <c r="E218" s="139"/>
      <c r="F218" s="169"/>
      <c r="G218" s="169"/>
      <c r="H218" s="169"/>
      <c r="I218" s="169"/>
    </row>
    <row r="219" spans="1:9" s="164" customFormat="1" ht="25.5" hidden="1" x14ac:dyDescent="0.25">
      <c r="A219" s="212" t="s">
        <v>50</v>
      </c>
      <c r="B219" s="160" t="s">
        <v>47</v>
      </c>
      <c r="C219" s="168" t="s">
        <v>44</v>
      </c>
      <c r="D219" s="162" t="s">
        <v>107</v>
      </c>
      <c r="E219" s="163" t="s">
        <v>109</v>
      </c>
      <c r="F219" s="191" t="s">
        <v>108</v>
      </c>
      <c r="G219" s="191" t="s">
        <v>114</v>
      </c>
      <c r="H219" s="191" t="s">
        <v>137</v>
      </c>
      <c r="I219" s="201" t="s">
        <v>147</v>
      </c>
    </row>
    <row r="220" spans="1:9" s="164" customFormat="1" hidden="1" x14ac:dyDescent="0.25">
      <c r="A220" s="212"/>
      <c r="B220" s="160"/>
      <c r="C220" s="168" t="s">
        <v>136</v>
      </c>
      <c r="D220" s="167"/>
      <c r="E220" s="139"/>
      <c r="F220" s="169"/>
      <c r="G220" s="169"/>
      <c r="H220" s="169"/>
      <c r="I220" s="170"/>
    </row>
    <row r="221" spans="1:9" s="164" customFormat="1" hidden="1" x14ac:dyDescent="0.25">
      <c r="A221" s="212"/>
      <c r="B221" s="160"/>
      <c r="C221" s="168" t="s">
        <v>118</v>
      </c>
      <c r="D221" s="158">
        <f>D198</f>
        <v>6.34</v>
      </c>
      <c r="E221" s="158">
        <v>1.2</v>
      </c>
      <c r="F221" s="158">
        <v>1</v>
      </c>
      <c r="G221" s="158">
        <v>1</v>
      </c>
      <c r="H221" s="158">
        <f>D221/0.2*E221*0.68+E221/2*D221*0.68</f>
        <v>28.45392</v>
      </c>
      <c r="I221" s="169" t="s">
        <v>116</v>
      </c>
    </row>
    <row r="222" spans="1:9" s="164" customFormat="1" hidden="1" x14ac:dyDescent="0.25">
      <c r="A222" s="212"/>
      <c r="B222" s="160"/>
      <c r="C222" s="168" t="s">
        <v>112</v>
      </c>
      <c r="D222" s="158">
        <f>F200</f>
        <v>3.4</v>
      </c>
      <c r="E222" s="158">
        <v>4</v>
      </c>
      <c r="F222" s="158">
        <v>1</v>
      </c>
      <c r="G222" s="158">
        <v>2</v>
      </c>
      <c r="H222" s="158">
        <f>D222*E222*F222*G222*0.68</f>
        <v>18.496000000000002</v>
      </c>
      <c r="I222" s="169" t="s">
        <v>116</v>
      </c>
    </row>
    <row r="223" spans="1:9" s="164" customFormat="1" hidden="1" x14ac:dyDescent="0.25">
      <c r="A223" s="212"/>
      <c r="B223" s="160"/>
      <c r="C223" s="168" t="s">
        <v>119</v>
      </c>
      <c r="D223" s="158">
        <v>1</v>
      </c>
      <c r="E223" s="158">
        <v>4</v>
      </c>
      <c r="F223" s="158">
        <v>1</v>
      </c>
      <c r="G223" s="158">
        <v>1</v>
      </c>
      <c r="H223" s="158">
        <f>D223*E223*F223*G223*0.68</f>
        <v>2.72</v>
      </c>
      <c r="I223" s="169" t="s">
        <v>116</v>
      </c>
    </row>
    <row r="224" spans="1:9" s="164" customFormat="1" hidden="1" x14ac:dyDescent="0.25">
      <c r="A224" s="212"/>
      <c r="B224" s="160"/>
      <c r="C224" s="168"/>
      <c r="D224" s="158">
        <v>1.5</v>
      </c>
      <c r="E224" s="158">
        <v>4</v>
      </c>
      <c r="F224" s="158">
        <v>1</v>
      </c>
      <c r="G224" s="158">
        <v>1</v>
      </c>
      <c r="H224" s="158">
        <f>D224*E224*F224*G224*0.68</f>
        <v>4.08</v>
      </c>
      <c r="I224" s="169" t="s">
        <v>116</v>
      </c>
    </row>
    <row r="225" spans="1:9" s="164" customFormat="1" hidden="1" x14ac:dyDescent="0.25">
      <c r="A225" s="212"/>
      <c r="B225" s="160"/>
      <c r="C225" s="168" t="s">
        <v>138</v>
      </c>
      <c r="D225" s="167"/>
      <c r="E225" s="139"/>
      <c r="F225" s="169"/>
      <c r="G225" s="169"/>
      <c r="H225" s="169"/>
      <c r="I225" s="170"/>
    </row>
    <row r="226" spans="1:9" s="164" customFormat="1" hidden="1" x14ac:dyDescent="0.25">
      <c r="A226" s="212"/>
      <c r="B226" s="160"/>
      <c r="C226" s="168" t="s">
        <v>118</v>
      </c>
      <c r="D226" s="158">
        <f>2.78+1</f>
        <v>3.78</v>
      </c>
      <c r="E226" s="158">
        <v>1.2</v>
      </c>
      <c r="F226" s="158">
        <v>1</v>
      </c>
      <c r="G226" s="158">
        <v>1</v>
      </c>
      <c r="H226" s="158">
        <f>(D226/0.2*E226*0.68)+(E226/2*D226*0.68)</f>
        <v>16.964639999999999</v>
      </c>
      <c r="I226" s="169" t="s">
        <v>116</v>
      </c>
    </row>
    <row r="227" spans="1:9" s="164" customFormat="1" hidden="1" x14ac:dyDescent="0.25">
      <c r="A227" s="212"/>
      <c r="B227" s="160"/>
      <c r="C227" s="168" t="s">
        <v>112</v>
      </c>
      <c r="D227" s="158">
        <f>F205</f>
        <v>4.3</v>
      </c>
      <c r="E227" s="158">
        <v>4</v>
      </c>
      <c r="F227" s="158">
        <v>1</v>
      </c>
      <c r="G227" s="158">
        <v>2</v>
      </c>
      <c r="H227" s="158">
        <f>D227*E227*F227*G227*0.68</f>
        <v>23.391999999999999</v>
      </c>
      <c r="I227" s="169" t="s">
        <v>116</v>
      </c>
    </row>
    <row r="228" spans="1:9" s="164" customFormat="1" hidden="1" x14ac:dyDescent="0.25">
      <c r="A228" s="212"/>
      <c r="B228" s="160"/>
      <c r="C228" s="168" t="s">
        <v>119</v>
      </c>
      <c r="D228" s="158">
        <v>1</v>
      </c>
      <c r="E228" s="158">
        <v>4</v>
      </c>
      <c r="F228" s="158">
        <v>1</v>
      </c>
      <c r="G228" s="158">
        <v>2</v>
      </c>
      <c r="H228" s="158">
        <f>D228*E228*F228*G228*0.68</f>
        <v>5.44</v>
      </c>
      <c r="I228" s="169" t="s">
        <v>116</v>
      </c>
    </row>
    <row r="229" spans="1:9" s="164" customFormat="1" hidden="1" x14ac:dyDescent="0.25">
      <c r="A229" s="212"/>
      <c r="B229" s="160"/>
      <c r="C229" s="168"/>
      <c r="D229" s="158">
        <v>1</v>
      </c>
      <c r="E229" s="158">
        <v>3</v>
      </c>
      <c r="F229" s="158">
        <v>1</v>
      </c>
      <c r="G229" s="158">
        <v>2</v>
      </c>
      <c r="H229" s="158">
        <f>D229*E229*F229*G229*0.68</f>
        <v>4.08</v>
      </c>
      <c r="I229" s="169" t="s">
        <v>116</v>
      </c>
    </row>
    <row r="230" spans="1:9" s="164" customFormat="1" hidden="1" x14ac:dyDescent="0.25">
      <c r="A230" s="212"/>
      <c r="B230" s="160"/>
      <c r="C230" s="168" t="s">
        <v>139</v>
      </c>
      <c r="D230" s="167"/>
      <c r="E230" s="139"/>
      <c r="F230" s="169"/>
      <c r="G230" s="169"/>
      <c r="H230" s="169"/>
      <c r="I230" s="170"/>
    </row>
    <row r="231" spans="1:9" s="164" customFormat="1" hidden="1" x14ac:dyDescent="0.25">
      <c r="A231" s="212"/>
      <c r="B231" s="160"/>
      <c r="C231" s="168" t="s">
        <v>118</v>
      </c>
      <c r="D231" s="158">
        <v>2</v>
      </c>
      <c r="E231" s="158">
        <v>1.2</v>
      </c>
      <c r="F231" s="158">
        <v>1</v>
      </c>
      <c r="G231" s="158">
        <v>1</v>
      </c>
      <c r="H231" s="158">
        <f>(D231/0.2*E231*0.68)+(E231/2*D231*0.68)</f>
        <v>8.9760000000000009</v>
      </c>
      <c r="I231" s="169" t="s">
        <v>116</v>
      </c>
    </row>
    <row r="232" spans="1:9" s="164" customFormat="1" hidden="1" x14ac:dyDescent="0.25">
      <c r="A232" s="212"/>
      <c r="B232" s="160"/>
      <c r="C232" s="168" t="s">
        <v>112</v>
      </c>
      <c r="D232" s="158">
        <v>5.3</v>
      </c>
      <c r="E232" s="158">
        <v>4</v>
      </c>
      <c r="F232" s="158">
        <v>1</v>
      </c>
      <c r="G232" s="158">
        <v>2</v>
      </c>
      <c r="H232" s="158">
        <f>D232*E232*F232*G232*0.68</f>
        <v>28.832000000000001</v>
      </c>
      <c r="I232" s="169" t="s">
        <v>116</v>
      </c>
    </row>
    <row r="233" spans="1:9" s="164" customFormat="1" hidden="1" x14ac:dyDescent="0.25">
      <c r="A233" s="212"/>
      <c r="B233" s="160"/>
      <c r="C233" s="168" t="s">
        <v>119</v>
      </c>
      <c r="D233" s="158">
        <v>1</v>
      </c>
      <c r="E233" s="158">
        <v>4</v>
      </c>
      <c r="F233" s="158">
        <v>1</v>
      </c>
      <c r="G233" s="158">
        <v>2</v>
      </c>
      <c r="H233" s="158">
        <f>D233*E233*F233*G233*0.68</f>
        <v>5.44</v>
      </c>
      <c r="I233" s="169" t="s">
        <v>116</v>
      </c>
    </row>
    <row r="234" spans="1:9" s="164" customFormat="1" hidden="1" x14ac:dyDescent="0.25">
      <c r="A234" s="212"/>
      <c r="B234" s="160"/>
      <c r="C234" s="168"/>
      <c r="D234" s="158">
        <v>1</v>
      </c>
      <c r="E234" s="158">
        <v>3</v>
      </c>
      <c r="F234" s="158">
        <v>1</v>
      </c>
      <c r="G234" s="158">
        <v>2</v>
      </c>
      <c r="H234" s="158">
        <f>D234*E234*F234*G234*0.68</f>
        <v>4.08</v>
      </c>
      <c r="I234" s="169" t="s">
        <v>116</v>
      </c>
    </row>
    <row r="235" spans="1:9" s="164" customFormat="1" hidden="1" x14ac:dyDescent="0.25">
      <c r="A235" s="212"/>
      <c r="B235" s="160"/>
      <c r="C235" s="168" t="s">
        <v>120</v>
      </c>
      <c r="D235" s="158">
        <v>1</v>
      </c>
      <c r="E235" s="158">
        <v>0.2</v>
      </c>
      <c r="F235" s="158">
        <v>1</v>
      </c>
      <c r="G235" s="158">
        <v>8</v>
      </c>
      <c r="H235" s="158">
        <f>((D235+E235+E235)*G235)*0.68*3</f>
        <v>22.847999999999999</v>
      </c>
      <c r="I235" s="169" t="s">
        <v>116</v>
      </c>
    </row>
    <row r="236" spans="1:9" s="164" customFormat="1" hidden="1" x14ac:dyDescent="0.25">
      <c r="A236" s="212"/>
      <c r="B236" s="160"/>
      <c r="C236" s="168"/>
      <c r="D236" s="158">
        <f>1+0.6</f>
        <v>1.6</v>
      </c>
      <c r="E236" s="158">
        <v>0.2</v>
      </c>
      <c r="F236" s="158">
        <v>1</v>
      </c>
      <c r="G236" s="158">
        <v>5</v>
      </c>
      <c r="H236" s="158">
        <f>((D236+E236+E236)*G236)*0.68*3</f>
        <v>20.400000000000002</v>
      </c>
      <c r="I236" s="169" t="s">
        <v>116</v>
      </c>
    </row>
    <row r="237" spans="1:9" s="164" customFormat="1" hidden="1" x14ac:dyDescent="0.25">
      <c r="A237" s="212"/>
      <c r="B237" s="160"/>
      <c r="C237" s="168" t="s">
        <v>135</v>
      </c>
      <c r="D237" s="167"/>
      <c r="E237" s="139"/>
      <c r="F237" s="169"/>
      <c r="G237" s="169"/>
      <c r="H237" s="158">
        <f>SUM(H221:H236)</f>
        <v>194.20256000000003</v>
      </c>
      <c r="I237" s="169" t="s">
        <v>116</v>
      </c>
    </row>
    <row r="238" spans="1:9" s="164" customFormat="1" hidden="1" x14ac:dyDescent="0.25">
      <c r="A238" s="212"/>
      <c r="B238" s="160"/>
      <c r="C238" s="168"/>
      <c r="D238" s="167"/>
      <c r="E238" s="139"/>
      <c r="F238" s="169"/>
      <c r="G238" s="169"/>
      <c r="H238" s="169"/>
      <c r="I238" s="170"/>
    </row>
    <row r="239" spans="1:9" s="164" customFormat="1" ht="25.5" hidden="1" x14ac:dyDescent="0.25">
      <c r="A239" s="212" t="s">
        <v>70</v>
      </c>
      <c r="B239" s="160" t="s">
        <v>48</v>
      </c>
      <c r="C239" s="168" t="s">
        <v>45</v>
      </c>
      <c r="D239" s="162" t="s">
        <v>107</v>
      </c>
      <c r="E239" s="163" t="s">
        <v>109</v>
      </c>
      <c r="F239" s="191" t="s">
        <v>108</v>
      </c>
      <c r="G239" s="191" t="s">
        <v>114</v>
      </c>
      <c r="H239" s="191" t="s">
        <v>137</v>
      </c>
      <c r="I239" s="170"/>
    </row>
    <row r="240" spans="1:9" s="164" customFormat="1" hidden="1" x14ac:dyDescent="0.25">
      <c r="A240" s="212"/>
      <c r="B240" s="160"/>
      <c r="C240" s="168" t="s">
        <v>136</v>
      </c>
      <c r="D240" s="167"/>
      <c r="E240" s="139"/>
      <c r="F240" s="169"/>
      <c r="G240" s="169"/>
      <c r="H240" s="158"/>
      <c r="I240" s="169"/>
    </row>
    <row r="241" spans="1:9" s="164" customFormat="1" hidden="1" x14ac:dyDescent="0.25">
      <c r="A241" s="212"/>
      <c r="B241" s="160"/>
      <c r="C241" s="168" t="s">
        <v>112</v>
      </c>
      <c r="D241" s="158">
        <f>D222</f>
        <v>3.4</v>
      </c>
      <c r="E241" s="158">
        <v>0.1</v>
      </c>
      <c r="F241" s="158">
        <v>0.3</v>
      </c>
      <c r="G241" s="158">
        <v>2</v>
      </c>
      <c r="H241" s="158">
        <f>(D241/0.2)*(E241*2+F241*2+0.1)*G241*0.12</f>
        <v>3.6720000000000002</v>
      </c>
      <c r="I241" s="169" t="s">
        <v>116</v>
      </c>
    </row>
    <row r="242" spans="1:9" s="164" customFormat="1" hidden="1" x14ac:dyDescent="0.25">
      <c r="A242" s="212"/>
      <c r="B242" s="160"/>
      <c r="C242" s="168" t="s">
        <v>119</v>
      </c>
      <c r="D242" s="158">
        <v>1</v>
      </c>
      <c r="E242" s="158">
        <v>0.1</v>
      </c>
      <c r="F242" s="158">
        <v>0.3</v>
      </c>
      <c r="G242" s="158">
        <v>1</v>
      </c>
      <c r="H242" s="158">
        <f>(D242/0.2)*(E242*2+F242*2+0.1)*G242*0.12</f>
        <v>0.54</v>
      </c>
      <c r="I242" s="169" t="s">
        <v>116</v>
      </c>
    </row>
    <row r="243" spans="1:9" s="164" customFormat="1" hidden="1" x14ac:dyDescent="0.25">
      <c r="A243" s="212"/>
      <c r="B243" s="160"/>
      <c r="C243" s="168"/>
      <c r="D243" s="158">
        <v>1.5</v>
      </c>
      <c r="E243" s="158">
        <v>0.1</v>
      </c>
      <c r="F243" s="158">
        <v>0.3</v>
      </c>
      <c r="G243" s="158">
        <v>2</v>
      </c>
      <c r="H243" s="158">
        <f>(D243/0.2)*(E243*2+F243*2+0.1)*G243*0.12</f>
        <v>1.6199999999999999</v>
      </c>
      <c r="I243" s="169" t="s">
        <v>116</v>
      </c>
    </row>
    <row r="244" spans="1:9" s="164" customFormat="1" hidden="1" x14ac:dyDescent="0.25">
      <c r="A244" s="212"/>
      <c r="B244" s="160"/>
      <c r="C244" s="168" t="s">
        <v>138</v>
      </c>
      <c r="D244" s="167"/>
      <c r="E244" s="139"/>
      <c r="F244" s="169"/>
      <c r="G244" s="169"/>
      <c r="H244" s="158"/>
      <c r="I244" s="169"/>
    </row>
    <row r="245" spans="1:9" s="164" customFormat="1" hidden="1" x14ac:dyDescent="0.25">
      <c r="A245" s="212"/>
      <c r="B245" s="160"/>
      <c r="C245" s="168" t="s">
        <v>112</v>
      </c>
      <c r="D245" s="158">
        <f>D227</f>
        <v>4.3</v>
      </c>
      <c r="E245" s="158">
        <v>0.1</v>
      </c>
      <c r="F245" s="158">
        <v>0.3</v>
      </c>
      <c r="G245" s="158">
        <v>2</v>
      </c>
      <c r="H245" s="158">
        <f>(D245/0.2)*(E245*2+F245*2+0.1)*G245*0.12</f>
        <v>4.6439999999999992</v>
      </c>
      <c r="I245" s="169" t="s">
        <v>116</v>
      </c>
    </row>
    <row r="246" spans="1:9" s="164" customFormat="1" hidden="1" x14ac:dyDescent="0.25">
      <c r="A246" s="212"/>
      <c r="B246" s="160"/>
      <c r="C246" s="168" t="s">
        <v>119</v>
      </c>
      <c r="D246" s="158">
        <v>1</v>
      </c>
      <c r="E246" s="158">
        <v>0.1</v>
      </c>
      <c r="F246" s="158">
        <v>0.3</v>
      </c>
      <c r="G246" s="158">
        <v>1</v>
      </c>
      <c r="H246" s="158">
        <f>(D246/0.2)*(E246*2+F246*2+0.1)*G246*0.12</f>
        <v>0.54</v>
      </c>
      <c r="I246" s="169" t="s">
        <v>116</v>
      </c>
    </row>
    <row r="247" spans="1:9" s="164" customFormat="1" hidden="1" x14ac:dyDescent="0.25">
      <c r="A247" s="212"/>
      <c r="B247" s="160"/>
      <c r="C247" s="168"/>
      <c r="D247" s="158">
        <v>1.5</v>
      </c>
      <c r="E247" s="158">
        <v>0.1</v>
      </c>
      <c r="F247" s="158">
        <v>0.3</v>
      </c>
      <c r="G247" s="158">
        <v>2</v>
      </c>
      <c r="H247" s="158">
        <f>(D247/0.2)*(E247*2+F247*2+0.1)*G247*0.12</f>
        <v>1.6199999999999999</v>
      </c>
      <c r="I247" s="169" t="s">
        <v>116</v>
      </c>
    </row>
    <row r="248" spans="1:9" s="164" customFormat="1" hidden="1" x14ac:dyDescent="0.25">
      <c r="A248" s="212"/>
      <c r="B248" s="160"/>
      <c r="C248" s="168" t="s">
        <v>139</v>
      </c>
      <c r="D248" s="167"/>
      <c r="E248" s="139"/>
      <c r="F248" s="169"/>
      <c r="G248" s="169"/>
      <c r="H248" s="158"/>
      <c r="I248" s="169"/>
    </row>
    <row r="249" spans="1:9" s="164" customFormat="1" hidden="1" x14ac:dyDescent="0.25">
      <c r="A249" s="212"/>
      <c r="B249" s="160"/>
      <c r="C249" s="168" t="s">
        <v>112</v>
      </c>
      <c r="D249" s="158">
        <f>D232</f>
        <v>5.3</v>
      </c>
      <c r="E249" s="158">
        <v>0.1</v>
      </c>
      <c r="F249" s="158">
        <v>0.3</v>
      </c>
      <c r="G249" s="158">
        <v>2</v>
      </c>
      <c r="H249" s="158">
        <f>(D249/0.2)*(E249*2+F249*2+0.1)*G249*0.12</f>
        <v>5.7239999999999993</v>
      </c>
      <c r="I249" s="169" t="s">
        <v>116</v>
      </c>
    </row>
    <row r="250" spans="1:9" s="164" customFormat="1" hidden="1" x14ac:dyDescent="0.25">
      <c r="A250" s="212"/>
      <c r="B250" s="160"/>
      <c r="C250" s="168" t="s">
        <v>119</v>
      </c>
      <c r="D250" s="158">
        <v>1</v>
      </c>
      <c r="E250" s="158">
        <v>0.1</v>
      </c>
      <c r="F250" s="158">
        <v>0.3</v>
      </c>
      <c r="G250" s="158">
        <v>1</v>
      </c>
      <c r="H250" s="158">
        <f>(D250/0.2)*(E250*2+F250*2+0.1)*G250*0.12</f>
        <v>0.54</v>
      </c>
      <c r="I250" s="169" t="s">
        <v>116</v>
      </c>
    </row>
    <row r="251" spans="1:9" s="164" customFormat="1" hidden="1" x14ac:dyDescent="0.25">
      <c r="A251" s="212"/>
      <c r="B251" s="160"/>
      <c r="C251" s="168"/>
      <c r="D251" s="158">
        <v>1.5</v>
      </c>
      <c r="E251" s="158">
        <v>0.1</v>
      </c>
      <c r="F251" s="158">
        <v>0.3</v>
      </c>
      <c r="G251" s="158">
        <v>2</v>
      </c>
      <c r="H251" s="158">
        <f>(D251/0.2)*(E251*2+F251*2+0.1)*G251*0.12</f>
        <v>1.6199999999999999</v>
      </c>
      <c r="I251" s="169" t="s">
        <v>116</v>
      </c>
    </row>
    <row r="252" spans="1:9" s="164" customFormat="1" hidden="1" x14ac:dyDescent="0.25">
      <c r="A252" s="212"/>
      <c r="B252" s="160"/>
      <c r="C252" s="168"/>
      <c r="D252" s="167"/>
      <c r="E252" s="139"/>
      <c r="F252" s="169"/>
      <c r="G252" s="169"/>
      <c r="H252" s="158">
        <f>SUM(H241:H251)</f>
        <v>20.519999999999996</v>
      </c>
      <c r="I252" s="169" t="s">
        <v>116</v>
      </c>
    </row>
    <row r="253" spans="1:9" s="164" customFormat="1" hidden="1" x14ac:dyDescent="0.25">
      <c r="A253" s="212"/>
      <c r="B253" s="160"/>
      <c r="C253" s="168"/>
      <c r="D253" s="158"/>
      <c r="E253" s="158"/>
      <c r="F253" s="158"/>
      <c r="G253" s="158"/>
      <c r="H253" s="158"/>
      <c r="I253" s="169"/>
    </row>
    <row r="254" spans="1:9" s="164" customFormat="1" hidden="1" x14ac:dyDescent="0.25">
      <c r="A254" s="212"/>
      <c r="B254" s="160"/>
      <c r="C254" s="168"/>
      <c r="D254" s="167"/>
      <c r="E254" s="139"/>
      <c r="F254" s="169"/>
      <c r="G254" s="169"/>
      <c r="H254" s="169"/>
      <c r="I254" s="170"/>
    </row>
    <row r="255" spans="1:9" s="164" customFormat="1" ht="25.5" hidden="1" x14ac:dyDescent="0.25">
      <c r="A255" s="212" t="s">
        <v>51</v>
      </c>
      <c r="B255" s="160" t="s">
        <v>73</v>
      </c>
      <c r="C255" s="168" t="s">
        <v>72</v>
      </c>
      <c r="D255" s="162" t="s">
        <v>107</v>
      </c>
      <c r="E255" s="163" t="s">
        <v>109</v>
      </c>
      <c r="F255" s="191" t="s">
        <v>108</v>
      </c>
      <c r="G255" s="191" t="s">
        <v>114</v>
      </c>
      <c r="H255" s="191" t="s">
        <v>124</v>
      </c>
      <c r="I255" s="201" t="s">
        <v>147</v>
      </c>
    </row>
    <row r="256" spans="1:9" s="164" customFormat="1" hidden="1" x14ac:dyDescent="0.25">
      <c r="A256" s="212"/>
      <c r="B256" s="160"/>
      <c r="C256" s="168" t="s">
        <v>136</v>
      </c>
      <c r="D256" s="162"/>
      <c r="E256" s="163"/>
      <c r="F256" s="191"/>
      <c r="G256" s="191"/>
      <c r="H256" s="191"/>
      <c r="I256" s="170"/>
    </row>
    <row r="257" spans="1:9" s="164" customFormat="1" hidden="1" x14ac:dyDescent="0.25">
      <c r="A257" s="212"/>
      <c r="B257" s="160"/>
      <c r="C257" s="168" t="s">
        <v>118</v>
      </c>
      <c r="D257" s="158">
        <f>D221</f>
        <v>6.34</v>
      </c>
      <c r="E257" s="158">
        <v>1</v>
      </c>
      <c r="F257" s="158">
        <v>0.1</v>
      </c>
      <c r="G257" s="158">
        <v>1</v>
      </c>
      <c r="H257" s="158">
        <f>(D257*E257*F257*G257)</f>
        <v>0.63400000000000001</v>
      </c>
      <c r="I257" s="169" t="s">
        <v>43</v>
      </c>
    </row>
    <row r="258" spans="1:9" s="164" customFormat="1" hidden="1" x14ac:dyDescent="0.25">
      <c r="A258" s="212"/>
      <c r="B258" s="160"/>
      <c r="C258" s="168" t="s">
        <v>117</v>
      </c>
      <c r="D258" s="158">
        <v>1</v>
      </c>
      <c r="E258" s="158">
        <v>1</v>
      </c>
      <c r="F258" s="158">
        <v>0.18</v>
      </c>
      <c r="G258" s="158">
        <v>17</v>
      </c>
      <c r="H258" s="158">
        <f>(D258*E258*F258*G258)</f>
        <v>3.06</v>
      </c>
      <c r="I258" s="169" t="s">
        <v>43</v>
      </c>
    </row>
    <row r="259" spans="1:9" s="164" customFormat="1" hidden="1" x14ac:dyDescent="0.25">
      <c r="A259" s="212"/>
      <c r="B259" s="160"/>
      <c r="C259" s="168" t="s">
        <v>112</v>
      </c>
      <c r="D259" s="158">
        <v>0.15</v>
      </c>
      <c r="E259" s="158">
        <v>0.3</v>
      </c>
      <c r="F259" s="158">
        <v>3.4</v>
      </c>
      <c r="G259" s="158">
        <v>2</v>
      </c>
      <c r="H259" s="158">
        <f>D259*E259*F259*G259</f>
        <v>0.30599999999999999</v>
      </c>
      <c r="I259" s="169" t="s">
        <v>43</v>
      </c>
    </row>
    <row r="260" spans="1:9" s="164" customFormat="1" hidden="1" x14ac:dyDescent="0.25">
      <c r="A260" s="212"/>
      <c r="B260" s="160"/>
      <c r="C260" s="168" t="s">
        <v>119</v>
      </c>
      <c r="D260" s="158">
        <v>2</v>
      </c>
      <c r="E260" s="158">
        <v>0.15</v>
      </c>
      <c r="F260" s="158">
        <v>0.3</v>
      </c>
      <c r="G260" s="158">
        <v>1</v>
      </c>
      <c r="H260" s="158">
        <f>D260*E260*F260*G260</f>
        <v>0.09</v>
      </c>
      <c r="I260" s="169" t="s">
        <v>43</v>
      </c>
    </row>
    <row r="261" spans="1:9" s="164" customFormat="1" hidden="1" x14ac:dyDescent="0.25">
      <c r="A261" s="212"/>
      <c r="B261" s="160"/>
      <c r="C261" s="168"/>
      <c r="D261" s="158">
        <v>1</v>
      </c>
      <c r="E261" s="158">
        <v>0.15</v>
      </c>
      <c r="F261" s="158">
        <v>1</v>
      </c>
      <c r="G261" s="158">
        <v>4</v>
      </c>
      <c r="H261" s="158">
        <f>D261*E261*F261*G261</f>
        <v>0.6</v>
      </c>
      <c r="I261" s="169" t="s">
        <v>43</v>
      </c>
    </row>
    <row r="262" spans="1:9" s="164" customFormat="1" hidden="1" x14ac:dyDescent="0.25">
      <c r="A262" s="212"/>
      <c r="B262" s="160"/>
      <c r="C262" s="168" t="s">
        <v>138</v>
      </c>
      <c r="D262" s="162"/>
      <c r="E262" s="163"/>
      <c r="F262" s="191"/>
      <c r="G262" s="191"/>
      <c r="H262" s="191"/>
      <c r="I262" s="169"/>
    </row>
    <row r="263" spans="1:9" s="164" customFormat="1" hidden="1" x14ac:dyDescent="0.25">
      <c r="A263" s="212"/>
      <c r="B263" s="160"/>
      <c r="C263" s="168" t="s">
        <v>118</v>
      </c>
      <c r="D263" s="158">
        <f>D226</f>
        <v>3.78</v>
      </c>
      <c r="E263" s="158">
        <v>1</v>
      </c>
      <c r="F263" s="158">
        <v>0.1</v>
      </c>
      <c r="G263" s="158">
        <v>1</v>
      </c>
      <c r="H263" s="158">
        <f>(D263*E263*F263*G263)</f>
        <v>0.378</v>
      </c>
      <c r="I263" s="169" t="s">
        <v>43</v>
      </c>
    </row>
    <row r="264" spans="1:9" s="164" customFormat="1" hidden="1" x14ac:dyDescent="0.25">
      <c r="A264" s="212"/>
      <c r="B264" s="160"/>
      <c r="C264" s="168" t="s">
        <v>117</v>
      </c>
      <c r="D264" s="158">
        <v>1</v>
      </c>
      <c r="E264" s="158">
        <v>1</v>
      </c>
      <c r="F264" s="158">
        <v>0.18</v>
      </c>
      <c r="G264" s="158">
        <v>17</v>
      </c>
      <c r="H264" s="158">
        <f>(D264*E264*F264*G264)</f>
        <v>3.06</v>
      </c>
      <c r="I264" s="169" t="s">
        <v>43</v>
      </c>
    </row>
    <row r="265" spans="1:9" s="164" customFormat="1" hidden="1" x14ac:dyDescent="0.25">
      <c r="A265" s="212"/>
      <c r="B265" s="160"/>
      <c r="C265" s="168" t="s">
        <v>112</v>
      </c>
      <c r="D265" s="158">
        <v>0.15</v>
      </c>
      <c r="E265" s="158">
        <v>0.3</v>
      </c>
      <c r="F265" s="158">
        <v>4.99</v>
      </c>
      <c r="G265" s="158">
        <v>2</v>
      </c>
      <c r="H265" s="158">
        <f>D265*E265*F265*G265</f>
        <v>0.4491</v>
      </c>
      <c r="I265" s="169" t="s">
        <v>43</v>
      </c>
    </row>
    <row r="266" spans="1:9" s="164" customFormat="1" hidden="1" x14ac:dyDescent="0.25">
      <c r="A266" s="212"/>
      <c r="B266" s="160"/>
      <c r="C266" s="168" t="s">
        <v>119</v>
      </c>
      <c r="D266" s="158">
        <v>2</v>
      </c>
      <c r="E266" s="158">
        <v>0.15</v>
      </c>
      <c r="F266" s="158">
        <v>0.3</v>
      </c>
      <c r="G266" s="158">
        <v>1</v>
      </c>
      <c r="H266" s="158">
        <f>D266*E266*F266*G266</f>
        <v>0.09</v>
      </c>
      <c r="I266" s="169" t="s">
        <v>43</v>
      </c>
    </row>
    <row r="267" spans="1:9" s="164" customFormat="1" hidden="1" x14ac:dyDescent="0.25">
      <c r="A267" s="212"/>
      <c r="B267" s="160"/>
      <c r="C267" s="168"/>
      <c r="D267" s="158">
        <v>1</v>
      </c>
      <c r="E267" s="158">
        <v>0.15</v>
      </c>
      <c r="F267" s="158">
        <v>1</v>
      </c>
      <c r="G267" s="158">
        <v>4</v>
      </c>
      <c r="H267" s="158">
        <f>D267*E267*F267*G267</f>
        <v>0.6</v>
      </c>
      <c r="I267" s="169" t="s">
        <v>43</v>
      </c>
    </row>
    <row r="268" spans="1:9" s="164" customFormat="1" hidden="1" x14ac:dyDescent="0.25">
      <c r="A268" s="212"/>
      <c r="B268" s="160"/>
      <c r="C268" s="168" t="s">
        <v>139</v>
      </c>
      <c r="D268" s="162"/>
      <c r="E268" s="163"/>
      <c r="F268" s="191"/>
      <c r="G268" s="191"/>
      <c r="H268" s="191"/>
      <c r="I268" s="169"/>
    </row>
    <row r="269" spans="1:9" s="164" customFormat="1" hidden="1" x14ac:dyDescent="0.25">
      <c r="A269" s="212"/>
      <c r="B269" s="160"/>
      <c r="C269" s="168" t="s">
        <v>118</v>
      </c>
      <c r="D269" s="158">
        <f>D232</f>
        <v>5.3</v>
      </c>
      <c r="E269" s="158">
        <v>1</v>
      </c>
      <c r="F269" s="158">
        <v>0.1</v>
      </c>
      <c r="G269" s="158">
        <v>1</v>
      </c>
      <c r="H269" s="158">
        <f>(D269*E269*F269*G269)</f>
        <v>0.53</v>
      </c>
      <c r="I269" s="169" t="s">
        <v>43</v>
      </c>
    </row>
    <row r="270" spans="1:9" s="164" customFormat="1" hidden="1" x14ac:dyDescent="0.25">
      <c r="A270" s="212"/>
      <c r="B270" s="160"/>
      <c r="C270" s="168" t="s">
        <v>117</v>
      </c>
      <c r="D270" s="158">
        <v>1</v>
      </c>
      <c r="E270" s="158">
        <v>1</v>
      </c>
      <c r="F270" s="158">
        <v>0.18</v>
      </c>
      <c r="G270" s="158">
        <v>17</v>
      </c>
      <c r="H270" s="158">
        <f>(D270*E270*F270*G270)</f>
        <v>3.06</v>
      </c>
      <c r="I270" s="169" t="s">
        <v>43</v>
      </c>
    </row>
    <row r="271" spans="1:9" s="164" customFormat="1" hidden="1" x14ac:dyDescent="0.25">
      <c r="A271" s="212"/>
      <c r="B271" s="160"/>
      <c r="C271" s="168" t="s">
        <v>112</v>
      </c>
      <c r="D271" s="158">
        <v>0.15</v>
      </c>
      <c r="E271" s="158">
        <v>0.3</v>
      </c>
      <c r="F271" s="158">
        <v>4.99</v>
      </c>
      <c r="G271" s="158">
        <v>2</v>
      </c>
      <c r="H271" s="158">
        <f>D271*E271*F271*G271</f>
        <v>0.4491</v>
      </c>
      <c r="I271" s="169" t="s">
        <v>43</v>
      </c>
    </row>
    <row r="272" spans="1:9" s="164" customFormat="1" hidden="1" x14ac:dyDescent="0.25">
      <c r="A272" s="212"/>
      <c r="B272" s="160"/>
      <c r="C272" s="168" t="s">
        <v>119</v>
      </c>
      <c r="D272" s="158">
        <v>2</v>
      </c>
      <c r="E272" s="158">
        <v>0.15</v>
      </c>
      <c r="F272" s="158">
        <v>0.3</v>
      </c>
      <c r="G272" s="158">
        <v>1</v>
      </c>
      <c r="H272" s="158">
        <f>D272*E272*F272*G272</f>
        <v>0.09</v>
      </c>
      <c r="I272" s="169" t="s">
        <v>43</v>
      </c>
    </row>
    <row r="273" spans="1:12" s="164" customFormat="1" hidden="1" x14ac:dyDescent="0.25">
      <c r="A273" s="212"/>
      <c r="B273" s="160"/>
      <c r="C273" s="168"/>
      <c r="D273" s="158">
        <v>1</v>
      </c>
      <c r="E273" s="158">
        <v>0.15</v>
      </c>
      <c r="F273" s="158">
        <v>1</v>
      </c>
      <c r="G273" s="158">
        <v>4</v>
      </c>
      <c r="H273" s="158">
        <f>D273*E273*F273*G273</f>
        <v>0.6</v>
      </c>
      <c r="I273" s="169" t="s">
        <v>43</v>
      </c>
    </row>
    <row r="274" spans="1:12" s="164" customFormat="1" hidden="1" x14ac:dyDescent="0.25">
      <c r="A274" s="212"/>
      <c r="B274" s="160"/>
      <c r="C274" s="168" t="s">
        <v>139</v>
      </c>
      <c r="D274" s="162"/>
      <c r="E274" s="163"/>
      <c r="F274" s="191"/>
      <c r="G274" s="191"/>
      <c r="H274" s="191"/>
      <c r="I274" s="169"/>
    </row>
    <row r="275" spans="1:12" s="164" customFormat="1" hidden="1" x14ac:dyDescent="0.25">
      <c r="A275" s="212"/>
      <c r="B275" s="160"/>
      <c r="C275" s="168" t="s">
        <v>118</v>
      </c>
      <c r="D275" s="158">
        <v>1.5</v>
      </c>
      <c r="E275" s="158">
        <v>1</v>
      </c>
      <c r="F275" s="158">
        <v>0.1</v>
      </c>
      <c r="G275" s="158">
        <v>1</v>
      </c>
      <c r="H275" s="158">
        <f>(D275*E275*F275*G275)</f>
        <v>0.15000000000000002</v>
      </c>
      <c r="I275" s="169" t="s">
        <v>4</v>
      </c>
    </row>
    <row r="276" spans="1:12" s="164" customFormat="1" hidden="1" x14ac:dyDescent="0.25">
      <c r="A276" s="212"/>
      <c r="B276" s="160"/>
      <c r="C276" s="168" t="s">
        <v>117</v>
      </c>
      <c r="D276" s="158">
        <v>1</v>
      </c>
      <c r="E276" s="158">
        <v>1</v>
      </c>
      <c r="F276" s="158">
        <v>0.18</v>
      </c>
      <c r="G276" s="158">
        <v>4</v>
      </c>
      <c r="H276" s="158">
        <f>(D276*E276*F276*G276)</f>
        <v>0.72</v>
      </c>
      <c r="I276" s="169" t="s">
        <v>4</v>
      </c>
    </row>
    <row r="277" spans="1:12" s="164" customFormat="1" hidden="1" x14ac:dyDescent="0.25">
      <c r="A277" s="212"/>
      <c r="B277" s="160"/>
      <c r="C277" s="168" t="s">
        <v>120</v>
      </c>
      <c r="D277" s="158">
        <v>1.6</v>
      </c>
      <c r="E277" s="158">
        <v>1</v>
      </c>
      <c r="F277" s="158">
        <v>0.5</v>
      </c>
      <c r="G277" s="158">
        <v>3</v>
      </c>
      <c r="H277" s="158">
        <f>D277*E277*F277*G277</f>
        <v>2.4000000000000004</v>
      </c>
      <c r="I277" s="169" t="s">
        <v>4</v>
      </c>
    </row>
    <row r="278" spans="1:12" s="164" customFormat="1" hidden="1" x14ac:dyDescent="0.25">
      <c r="A278" s="212"/>
      <c r="B278" s="160"/>
      <c r="C278" s="168"/>
      <c r="D278" s="167"/>
      <c r="E278" s="139"/>
      <c r="F278" s="169"/>
      <c r="G278" s="169"/>
      <c r="H278" s="158">
        <f>SUM(H257:H277)</f>
        <v>17.266199999999998</v>
      </c>
      <c r="I278" s="169" t="s">
        <v>4</v>
      </c>
    </row>
    <row r="279" spans="1:12" s="164" customFormat="1" hidden="1" x14ac:dyDescent="0.25">
      <c r="A279" s="212"/>
      <c r="B279" s="160"/>
      <c r="C279" s="168"/>
      <c r="D279" s="167"/>
      <c r="E279" s="139"/>
      <c r="F279" s="169"/>
      <c r="G279" s="169"/>
      <c r="H279" s="169"/>
      <c r="I279" s="170"/>
    </row>
    <row r="280" spans="1:12" s="164" customFormat="1" hidden="1" x14ac:dyDescent="0.25">
      <c r="A280" s="213"/>
      <c r="B280" s="184"/>
      <c r="C280" s="197"/>
      <c r="D280" s="167"/>
      <c r="E280" s="185"/>
      <c r="F280" s="191"/>
      <c r="G280" s="191"/>
      <c r="H280" s="191"/>
      <c r="I280" s="170"/>
    </row>
    <row r="281" spans="1:12" s="164" customFormat="1" hidden="1" x14ac:dyDescent="0.25">
      <c r="A281" s="211"/>
      <c r="B281" s="178"/>
      <c r="C281" s="179" t="s">
        <v>90</v>
      </c>
      <c r="D281" s="180"/>
      <c r="E281" s="180"/>
      <c r="F281" s="180"/>
      <c r="G281" s="180"/>
      <c r="H281" s="180"/>
      <c r="I281" s="181"/>
    </row>
    <row r="282" spans="1:12" s="164" customFormat="1" hidden="1" x14ac:dyDescent="0.25">
      <c r="A282" s="211">
        <v>1</v>
      </c>
      <c r="B282" s="178"/>
      <c r="C282" s="179" t="s">
        <v>2</v>
      </c>
      <c r="D282" s="180"/>
      <c r="E282" s="180"/>
      <c r="F282" s="180"/>
      <c r="G282" s="180"/>
      <c r="H282" s="180"/>
      <c r="I282" s="181"/>
    </row>
    <row r="283" spans="1:12" s="164" customFormat="1" ht="25.5" hidden="1" x14ac:dyDescent="0.25">
      <c r="A283" s="212" t="s">
        <v>3</v>
      </c>
      <c r="B283" s="160" t="s">
        <v>81</v>
      </c>
      <c r="C283" s="182" t="s">
        <v>80</v>
      </c>
      <c r="D283" s="167"/>
      <c r="E283" s="185"/>
      <c r="F283" s="162" t="s">
        <v>107</v>
      </c>
      <c r="G283" s="162" t="s">
        <v>109</v>
      </c>
      <c r="H283" s="162" t="s">
        <v>125</v>
      </c>
      <c r="I283" s="183" t="s">
        <v>147</v>
      </c>
      <c r="K283" s="256"/>
      <c r="L283" s="257"/>
    </row>
    <row r="284" spans="1:12" s="164" customFormat="1" hidden="1" x14ac:dyDescent="0.25">
      <c r="A284" s="213"/>
      <c r="B284" s="184"/>
      <c r="C284" s="182" t="s">
        <v>151</v>
      </c>
      <c r="D284" s="167"/>
      <c r="E284" s="185"/>
      <c r="F284" s="186">
        <v>2</v>
      </c>
      <c r="G284" s="186">
        <v>1.25</v>
      </c>
      <c r="H284" s="186">
        <f>F284*G284</f>
        <v>2.5</v>
      </c>
      <c r="I284" s="170" t="s">
        <v>43</v>
      </c>
      <c r="K284" s="187"/>
      <c r="L284" s="188"/>
    </row>
    <row r="285" spans="1:12" s="164" customFormat="1" ht="9" hidden="1" customHeight="1" x14ac:dyDescent="0.25">
      <c r="A285" s="268"/>
      <c r="B285" s="269"/>
      <c r="C285" s="269"/>
      <c r="D285" s="269"/>
      <c r="E285" s="269"/>
      <c r="F285" s="269"/>
      <c r="G285" s="269"/>
      <c r="H285" s="269"/>
      <c r="I285" s="269"/>
      <c r="K285" s="187"/>
      <c r="L285" s="188"/>
    </row>
    <row r="286" spans="1:12" s="164" customFormat="1" hidden="1" x14ac:dyDescent="0.25">
      <c r="A286" s="211">
        <v>2</v>
      </c>
      <c r="B286" s="178"/>
      <c r="C286" s="179" t="s">
        <v>38</v>
      </c>
      <c r="D286" s="180"/>
      <c r="E286" s="189"/>
      <c r="F286" s="190"/>
      <c r="G286" s="190"/>
      <c r="H286" s="190"/>
      <c r="I286" s="190"/>
    </row>
    <row r="287" spans="1:12" s="164" customFormat="1" ht="25.5" hidden="1" x14ac:dyDescent="0.25">
      <c r="A287" s="212" t="s">
        <v>16</v>
      </c>
      <c r="B287" s="160" t="s">
        <v>28</v>
      </c>
      <c r="C287" s="161" t="s">
        <v>27</v>
      </c>
      <c r="D287" s="162" t="s">
        <v>107</v>
      </c>
      <c r="E287" s="163" t="s">
        <v>109</v>
      </c>
      <c r="F287" s="191" t="s">
        <v>108</v>
      </c>
      <c r="G287" s="162" t="s">
        <v>124</v>
      </c>
      <c r="H287" s="183" t="s">
        <v>147</v>
      </c>
      <c r="I287" s="170"/>
    </row>
    <row r="288" spans="1:12" s="164" customFormat="1" hidden="1" x14ac:dyDescent="0.25">
      <c r="A288" s="212"/>
      <c r="B288" s="160"/>
      <c r="C288" s="161" t="s">
        <v>126</v>
      </c>
      <c r="D288" s="186">
        <v>10</v>
      </c>
      <c r="E288" s="186">
        <v>2.5</v>
      </c>
      <c r="F288" s="186">
        <v>0.5</v>
      </c>
      <c r="G288" s="186">
        <f>D288*E288*F288</f>
        <v>12.5</v>
      </c>
      <c r="H288" s="192" t="s">
        <v>43</v>
      </c>
      <c r="I288" s="186"/>
    </row>
    <row r="289" spans="1:9" s="164" customFormat="1" hidden="1" x14ac:dyDescent="0.25">
      <c r="A289" s="212"/>
      <c r="B289" s="160"/>
      <c r="C289" s="161"/>
      <c r="D289" s="186">
        <v>10</v>
      </c>
      <c r="E289" s="186">
        <v>1</v>
      </c>
      <c r="F289" s="186">
        <v>5</v>
      </c>
      <c r="G289" s="186">
        <f>D289*E289*F289</f>
        <v>50</v>
      </c>
      <c r="H289" s="192" t="s">
        <v>43</v>
      </c>
      <c r="I289" s="186"/>
    </row>
    <row r="290" spans="1:9" s="164" customFormat="1" hidden="1" x14ac:dyDescent="0.25">
      <c r="A290" s="212"/>
      <c r="B290" s="160"/>
      <c r="C290" s="161" t="s">
        <v>110</v>
      </c>
      <c r="D290" s="186"/>
      <c r="E290" s="186"/>
      <c r="F290" s="186"/>
      <c r="G290" s="186">
        <f>SUM(G288:G289)</f>
        <v>62.5</v>
      </c>
      <c r="H290" s="192" t="s">
        <v>43</v>
      </c>
      <c r="I290" s="186"/>
    </row>
    <row r="291" spans="1:9" s="164" customFormat="1" hidden="1" x14ac:dyDescent="0.25">
      <c r="A291" s="212"/>
      <c r="B291" s="160"/>
      <c r="C291" s="161"/>
      <c r="D291" s="167"/>
      <c r="E291" s="185"/>
      <c r="F291" s="169"/>
      <c r="G291" s="169"/>
      <c r="H291" s="169"/>
      <c r="I291" s="170"/>
    </row>
    <row r="292" spans="1:9" s="164" customFormat="1" ht="27" hidden="1" customHeight="1" x14ac:dyDescent="0.25">
      <c r="A292" s="212" t="s">
        <v>17</v>
      </c>
      <c r="B292" s="160" t="s">
        <v>65</v>
      </c>
      <c r="C292" s="168" t="s">
        <v>63</v>
      </c>
      <c r="D292" s="162" t="s">
        <v>107</v>
      </c>
      <c r="E292" s="163" t="s">
        <v>109</v>
      </c>
      <c r="F292" s="191" t="s">
        <v>108</v>
      </c>
      <c r="G292" s="162" t="s">
        <v>124</v>
      </c>
      <c r="H292" s="183" t="s">
        <v>147</v>
      </c>
      <c r="I292" s="170"/>
    </row>
    <row r="293" spans="1:9" s="164" customFormat="1" hidden="1" x14ac:dyDescent="0.25">
      <c r="A293" s="212"/>
      <c r="B293" s="160"/>
      <c r="C293" s="161" t="s">
        <v>126</v>
      </c>
      <c r="D293" s="186">
        <v>10</v>
      </c>
      <c r="E293" s="186">
        <v>1</v>
      </c>
      <c r="F293" s="186">
        <v>0.5</v>
      </c>
      <c r="G293" s="186">
        <f>D293*E293*F293</f>
        <v>5</v>
      </c>
      <c r="H293" s="192" t="s">
        <v>43</v>
      </c>
      <c r="I293" s="186"/>
    </row>
    <row r="294" spans="1:9" s="164" customFormat="1" hidden="1" x14ac:dyDescent="0.25">
      <c r="A294" s="212"/>
      <c r="B294" s="160"/>
      <c r="C294" s="161"/>
      <c r="D294" s="186"/>
      <c r="E294" s="186"/>
      <c r="F294" s="186"/>
      <c r="G294" s="186"/>
      <c r="H294" s="186"/>
      <c r="I294" s="186"/>
    </row>
    <row r="295" spans="1:9" s="164" customFormat="1" hidden="1" x14ac:dyDescent="0.25">
      <c r="A295" s="212"/>
      <c r="B295" s="160"/>
      <c r="C295" s="161" t="s">
        <v>110</v>
      </c>
      <c r="D295" s="186"/>
      <c r="E295" s="186"/>
      <c r="F295" s="186"/>
      <c r="G295" s="186"/>
      <c r="H295" s="186"/>
      <c r="I295" s="186"/>
    </row>
    <row r="296" spans="1:9" s="164" customFormat="1" ht="25.5" hidden="1" x14ac:dyDescent="0.25">
      <c r="A296" s="212" t="s">
        <v>18</v>
      </c>
      <c r="B296" s="160" t="s">
        <v>66</v>
      </c>
      <c r="C296" s="168" t="s">
        <v>64</v>
      </c>
      <c r="D296" s="162"/>
      <c r="E296" s="162" t="s">
        <v>107</v>
      </c>
      <c r="F296" s="191" t="s">
        <v>108</v>
      </c>
      <c r="G296" s="191" t="s">
        <v>125</v>
      </c>
      <c r="H296" s="183" t="s">
        <v>147</v>
      </c>
      <c r="I296" s="170"/>
    </row>
    <row r="297" spans="1:9" s="164" customFormat="1" hidden="1" x14ac:dyDescent="0.25">
      <c r="A297" s="212"/>
      <c r="B297" s="160"/>
      <c r="C297" s="161" t="s">
        <v>126</v>
      </c>
      <c r="D297" s="186"/>
      <c r="E297" s="186">
        <v>30</v>
      </c>
      <c r="F297" s="186">
        <v>1.5</v>
      </c>
      <c r="G297" s="186">
        <f>E297*F297</f>
        <v>45</v>
      </c>
      <c r="H297" s="192" t="s">
        <v>4</v>
      </c>
      <c r="I297" s="186"/>
    </row>
    <row r="298" spans="1:9" s="164" customFormat="1" hidden="1" x14ac:dyDescent="0.25">
      <c r="A298" s="212"/>
      <c r="B298" s="160"/>
      <c r="C298" s="161" t="s">
        <v>110</v>
      </c>
      <c r="D298" s="186"/>
      <c r="E298" s="186"/>
      <c r="F298" s="186"/>
      <c r="G298" s="186"/>
      <c r="H298" s="186"/>
      <c r="I298" s="186"/>
    </row>
    <row r="299" spans="1:9" s="164" customFormat="1" hidden="1" x14ac:dyDescent="0.25">
      <c r="A299" s="212"/>
      <c r="B299" s="160"/>
      <c r="C299" s="168"/>
      <c r="D299" s="167"/>
      <c r="E299" s="139"/>
      <c r="F299" s="169"/>
      <c r="G299" s="169"/>
      <c r="H299" s="169"/>
      <c r="I299" s="170"/>
    </row>
    <row r="300" spans="1:9" s="164" customFormat="1" hidden="1" x14ac:dyDescent="0.25">
      <c r="A300" s="213"/>
      <c r="B300" s="184"/>
      <c r="C300" s="197"/>
      <c r="D300" s="167"/>
      <c r="E300" s="185"/>
      <c r="F300" s="191"/>
      <c r="G300" s="191"/>
      <c r="H300" s="191"/>
      <c r="I300" s="170"/>
    </row>
    <row r="301" spans="1:9" s="164" customFormat="1" hidden="1" x14ac:dyDescent="0.25">
      <c r="A301" s="211">
        <v>3</v>
      </c>
      <c r="B301" s="178"/>
      <c r="C301" s="179" t="s">
        <v>26</v>
      </c>
      <c r="D301" s="193"/>
      <c r="E301" s="189"/>
      <c r="F301" s="190"/>
      <c r="G301" s="190"/>
      <c r="H301" s="190"/>
      <c r="I301" s="190"/>
    </row>
    <row r="302" spans="1:9" s="164" customFormat="1" ht="38.25" hidden="1" x14ac:dyDescent="0.25">
      <c r="A302" s="212" t="s">
        <v>5</v>
      </c>
      <c r="B302" s="160" t="s">
        <v>30</v>
      </c>
      <c r="C302" s="168" t="s">
        <v>29</v>
      </c>
      <c r="D302" s="162" t="s">
        <v>107</v>
      </c>
      <c r="E302" s="194" t="s">
        <v>108</v>
      </c>
      <c r="F302" s="191" t="s">
        <v>111</v>
      </c>
      <c r="G302" s="191" t="s">
        <v>125</v>
      </c>
      <c r="H302" s="183" t="s">
        <v>147</v>
      </c>
      <c r="I302" s="170"/>
    </row>
    <row r="303" spans="1:9" s="164" customFormat="1" hidden="1" x14ac:dyDescent="0.25">
      <c r="A303" s="212"/>
      <c r="B303" s="160"/>
      <c r="C303" s="161" t="s">
        <v>126</v>
      </c>
      <c r="D303" s="186">
        <v>30</v>
      </c>
      <c r="E303" s="186">
        <f>(1.5+3.5)/2</f>
        <v>2.5</v>
      </c>
      <c r="F303" s="186">
        <v>2</v>
      </c>
      <c r="G303" s="186">
        <f>D303*E303*2</f>
        <v>150</v>
      </c>
      <c r="H303" s="169" t="s">
        <v>4</v>
      </c>
      <c r="I303" s="170"/>
    </row>
    <row r="304" spans="1:9" s="164" customFormat="1" hidden="1" x14ac:dyDescent="0.25">
      <c r="A304" s="212"/>
      <c r="B304" s="160"/>
      <c r="C304" s="161" t="s">
        <v>110</v>
      </c>
      <c r="D304" s="167"/>
      <c r="E304" s="139"/>
      <c r="F304" s="169"/>
      <c r="G304" s="186">
        <v>150</v>
      </c>
      <c r="H304" s="169" t="s">
        <v>4</v>
      </c>
      <c r="I304" s="170"/>
    </row>
    <row r="305" spans="1:9" s="164" customFormat="1" hidden="1" x14ac:dyDescent="0.25">
      <c r="A305" s="212"/>
      <c r="B305" s="160"/>
      <c r="C305" s="161"/>
      <c r="D305" s="186"/>
      <c r="E305" s="186"/>
      <c r="F305" s="186"/>
      <c r="G305" s="186"/>
      <c r="H305" s="186"/>
      <c r="I305" s="186"/>
    </row>
    <row r="306" spans="1:9" s="164" customFormat="1" ht="25.5" hidden="1" x14ac:dyDescent="0.25">
      <c r="A306" s="212" t="s">
        <v>6</v>
      </c>
      <c r="B306" s="137" t="s">
        <v>32</v>
      </c>
      <c r="C306" s="138" t="s">
        <v>31</v>
      </c>
      <c r="D306" s="162" t="s">
        <v>107</v>
      </c>
      <c r="E306" s="194" t="s">
        <v>108</v>
      </c>
      <c r="F306" s="191" t="s">
        <v>122</v>
      </c>
      <c r="G306" s="191" t="s">
        <v>124</v>
      </c>
      <c r="H306" s="183" t="s">
        <v>147</v>
      </c>
      <c r="I306" s="169"/>
    </row>
    <row r="307" spans="1:9" s="164" customFormat="1" hidden="1" x14ac:dyDescent="0.25">
      <c r="A307" s="212"/>
      <c r="B307" s="137"/>
      <c r="C307" s="161" t="s">
        <v>126</v>
      </c>
      <c r="D307" s="186">
        <v>30</v>
      </c>
      <c r="E307" s="186">
        <v>0.5</v>
      </c>
      <c r="F307" s="186">
        <v>1.5</v>
      </c>
      <c r="G307" s="186">
        <f>F307*E307*D307</f>
        <v>22.5</v>
      </c>
      <c r="H307" s="169" t="s">
        <v>43</v>
      </c>
      <c r="I307" s="169"/>
    </row>
    <row r="308" spans="1:9" s="164" customFormat="1" hidden="1" x14ac:dyDescent="0.25">
      <c r="A308" s="212"/>
      <c r="B308" s="137"/>
      <c r="C308" s="168"/>
      <c r="D308" s="186">
        <v>30</v>
      </c>
      <c r="E308" s="186">
        <f>(1.5+3.5)/2</f>
        <v>2.5</v>
      </c>
      <c r="F308" s="186">
        <v>1.5</v>
      </c>
      <c r="G308" s="186">
        <f>F308*E308*D308</f>
        <v>112.5</v>
      </c>
      <c r="H308" s="169" t="s">
        <v>43</v>
      </c>
      <c r="I308" s="169"/>
    </row>
    <row r="309" spans="1:9" s="164" customFormat="1" hidden="1" x14ac:dyDescent="0.25">
      <c r="A309" s="212"/>
      <c r="B309" s="137"/>
      <c r="C309" s="161" t="s">
        <v>110</v>
      </c>
      <c r="D309" s="167"/>
      <c r="E309" s="139"/>
      <c r="F309" s="169"/>
      <c r="G309" s="186">
        <f>SUM(G307:G308)</f>
        <v>135</v>
      </c>
      <c r="H309" s="169" t="s">
        <v>43</v>
      </c>
      <c r="I309" s="169"/>
    </row>
    <row r="310" spans="1:9" s="164" customFormat="1" hidden="1" x14ac:dyDescent="0.25">
      <c r="A310" s="212"/>
      <c r="B310" s="137"/>
      <c r="C310" s="138"/>
      <c r="D310" s="167"/>
      <c r="E310" s="139"/>
      <c r="F310" s="169"/>
      <c r="G310" s="169"/>
      <c r="H310" s="169"/>
      <c r="I310" s="169"/>
    </row>
    <row r="311" spans="1:9" s="164" customFormat="1" ht="25.5" hidden="1" x14ac:dyDescent="0.25">
      <c r="A311" s="212" t="s">
        <v>7</v>
      </c>
      <c r="B311" s="137" t="s">
        <v>34</v>
      </c>
      <c r="C311" s="138" t="s">
        <v>33</v>
      </c>
      <c r="D311" s="141"/>
      <c r="E311" s="139"/>
      <c r="F311" s="169"/>
      <c r="G311" s="162" t="s">
        <v>107</v>
      </c>
      <c r="H311" s="183" t="s">
        <v>147</v>
      </c>
      <c r="I311" s="169"/>
    </row>
    <row r="312" spans="1:9" s="164" customFormat="1" hidden="1" x14ac:dyDescent="0.25">
      <c r="A312" s="212"/>
      <c r="B312" s="137"/>
      <c r="C312" s="138" t="s">
        <v>144</v>
      </c>
      <c r="D312" s="141"/>
      <c r="E312" s="139"/>
      <c r="F312" s="169"/>
      <c r="G312" s="186">
        <v>135</v>
      </c>
      <c r="H312" s="192" t="s">
        <v>67</v>
      </c>
      <c r="I312" s="169"/>
    </row>
    <row r="313" spans="1:9" s="164" customFormat="1" hidden="1" x14ac:dyDescent="0.25">
      <c r="A313" s="212"/>
      <c r="B313" s="137"/>
      <c r="C313" s="138" t="s">
        <v>145</v>
      </c>
      <c r="D313" s="141"/>
      <c r="E313" s="139"/>
      <c r="F313" s="169"/>
      <c r="G313" s="186">
        <f>30*0.5</f>
        <v>15</v>
      </c>
      <c r="H313" s="192" t="s">
        <v>67</v>
      </c>
      <c r="I313" s="169"/>
    </row>
    <row r="314" spans="1:9" s="164" customFormat="1" hidden="1" x14ac:dyDescent="0.25">
      <c r="A314" s="212"/>
      <c r="B314" s="137"/>
      <c r="C314" s="138"/>
      <c r="D314" s="141"/>
      <c r="E314" s="139"/>
      <c r="F314" s="169"/>
      <c r="G314" s="186">
        <f ca="1">SUM(G312:G314)</f>
        <v>0</v>
      </c>
      <c r="H314" s="192" t="s">
        <v>67</v>
      </c>
      <c r="I314" s="169"/>
    </row>
    <row r="315" spans="1:9" s="164" customFormat="1" hidden="1" x14ac:dyDescent="0.25">
      <c r="A315" s="212"/>
      <c r="B315" s="137"/>
      <c r="C315" s="138"/>
      <c r="D315" s="141"/>
      <c r="E315" s="139"/>
      <c r="F315" s="169"/>
      <c r="G315" s="169"/>
      <c r="H315" s="169"/>
      <c r="I315" s="169"/>
    </row>
    <row r="316" spans="1:9" s="164" customFormat="1" ht="25.5" hidden="1" x14ac:dyDescent="0.25">
      <c r="A316" s="212" t="s">
        <v>39</v>
      </c>
      <c r="B316" s="160" t="s">
        <v>36</v>
      </c>
      <c r="C316" s="168" t="s">
        <v>35</v>
      </c>
      <c r="D316" s="162" t="s">
        <v>107</v>
      </c>
      <c r="E316" s="194" t="s">
        <v>108</v>
      </c>
      <c r="F316" s="191" t="s">
        <v>122</v>
      </c>
      <c r="G316" s="191" t="s">
        <v>124</v>
      </c>
      <c r="H316" s="183" t="s">
        <v>147</v>
      </c>
      <c r="I316" s="170"/>
    </row>
    <row r="317" spans="1:9" s="164" customFormat="1" hidden="1" x14ac:dyDescent="0.25">
      <c r="A317" s="212"/>
      <c r="B317" s="160"/>
      <c r="C317" s="161" t="s">
        <v>126</v>
      </c>
      <c r="D317" s="186">
        <v>30</v>
      </c>
      <c r="E317" s="186">
        <v>2.5</v>
      </c>
      <c r="F317" s="186">
        <v>0.5</v>
      </c>
      <c r="G317" s="186">
        <f>F317*E317*D317</f>
        <v>37.5</v>
      </c>
      <c r="H317" s="169" t="s">
        <v>43</v>
      </c>
      <c r="I317" s="170"/>
    </row>
    <row r="318" spans="1:9" s="164" customFormat="1" hidden="1" x14ac:dyDescent="0.25">
      <c r="A318" s="212"/>
      <c r="B318" s="160"/>
      <c r="C318" s="168"/>
      <c r="D318" s="167"/>
      <c r="E318" s="139"/>
      <c r="F318" s="169"/>
      <c r="G318" s="169"/>
      <c r="H318" s="169"/>
      <c r="I318" s="170"/>
    </row>
    <row r="319" spans="1:9" s="164" customFormat="1" hidden="1" x14ac:dyDescent="0.25">
      <c r="A319" s="212"/>
      <c r="B319" s="137"/>
      <c r="C319" s="138"/>
      <c r="D319" s="141"/>
      <c r="E319" s="139"/>
      <c r="F319" s="169"/>
      <c r="G319" s="169"/>
      <c r="H319" s="169"/>
      <c r="I319" s="169"/>
    </row>
    <row r="320" spans="1:9" s="164" customFormat="1" ht="9" hidden="1" customHeight="1" x14ac:dyDescent="0.25">
      <c r="A320" s="211"/>
      <c r="B320" s="178"/>
      <c r="C320" s="179"/>
      <c r="D320" s="193"/>
      <c r="E320" s="189"/>
      <c r="F320" s="196"/>
      <c r="G320" s="196"/>
      <c r="H320" s="196"/>
      <c r="I320" s="190"/>
    </row>
    <row r="321" spans="1:12" s="164" customFormat="1" x14ac:dyDescent="0.25">
      <c r="A321" s="211"/>
      <c r="B321" s="178"/>
      <c r="C321" s="179" t="s">
        <v>91</v>
      </c>
      <c r="D321" s="180"/>
      <c r="E321" s="180"/>
      <c r="F321" s="180"/>
      <c r="G321" s="180"/>
      <c r="H321" s="180"/>
      <c r="I321" s="181"/>
    </row>
    <row r="322" spans="1:12" s="164" customFormat="1" x14ac:dyDescent="0.25">
      <c r="A322" s="211">
        <v>1</v>
      </c>
      <c r="B322" s="178"/>
      <c r="C322" s="179" t="s">
        <v>2</v>
      </c>
      <c r="D322" s="180"/>
      <c r="E322" s="180"/>
      <c r="F322" s="180"/>
      <c r="G322" s="180"/>
      <c r="H322" s="180"/>
      <c r="I322" s="181"/>
    </row>
    <row r="323" spans="1:12" s="164" customFormat="1" ht="25.5" x14ac:dyDescent="0.25">
      <c r="A323" s="212" t="s">
        <v>3</v>
      </c>
      <c r="B323" s="160" t="s">
        <v>81</v>
      </c>
      <c r="C323" s="161" t="s">
        <v>80</v>
      </c>
      <c r="D323" s="162"/>
      <c r="E323" s="194"/>
      <c r="F323" s="162" t="s">
        <v>107</v>
      </c>
      <c r="G323" s="162" t="s">
        <v>109</v>
      </c>
      <c r="H323" s="162" t="s">
        <v>125</v>
      </c>
      <c r="I323" s="183" t="s">
        <v>147</v>
      </c>
    </row>
    <row r="324" spans="1:12" s="164" customFormat="1" x14ac:dyDescent="0.25">
      <c r="A324" s="212"/>
      <c r="B324" s="160"/>
      <c r="C324" s="161"/>
      <c r="D324" s="186"/>
      <c r="E324" s="186"/>
      <c r="F324" s="186">
        <v>2</v>
      </c>
      <c r="G324" s="186">
        <v>1.25</v>
      </c>
      <c r="H324" s="186">
        <f>F324*G324</f>
        <v>2.5</v>
      </c>
      <c r="I324" s="170" t="s">
        <v>43</v>
      </c>
    </row>
    <row r="325" spans="1:12" s="164" customFormat="1" x14ac:dyDescent="0.25">
      <c r="A325" s="213"/>
      <c r="B325" s="184"/>
      <c r="C325" s="197"/>
      <c r="D325" s="167"/>
      <c r="E325" s="185"/>
      <c r="F325" s="191"/>
      <c r="G325" s="191"/>
      <c r="H325" s="191"/>
      <c r="I325" s="170"/>
      <c r="K325" s="187"/>
      <c r="L325" s="188"/>
    </row>
    <row r="326" spans="1:12" s="164" customFormat="1" x14ac:dyDescent="0.25">
      <c r="A326" s="211">
        <v>2</v>
      </c>
      <c r="B326" s="178"/>
      <c r="C326" s="179" t="s">
        <v>38</v>
      </c>
      <c r="D326" s="180"/>
      <c r="E326" s="189"/>
      <c r="F326" s="190"/>
      <c r="G326" s="190"/>
      <c r="H326" s="190"/>
      <c r="I326" s="190"/>
    </row>
    <row r="327" spans="1:12" s="164" customFormat="1" ht="25.5" x14ac:dyDescent="0.25">
      <c r="A327" s="212" t="s">
        <v>16</v>
      </c>
      <c r="B327" s="160" t="s">
        <v>28</v>
      </c>
      <c r="C327" s="161" t="s">
        <v>27</v>
      </c>
      <c r="D327" s="162" t="s">
        <v>107</v>
      </c>
      <c r="E327" s="194" t="s">
        <v>108</v>
      </c>
      <c r="F327" s="191" t="s">
        <v>122</v>
      </c>
      <c r="G327" s="191" t="s">
        <v>124</v>
      </c>
      <c r="H327" s="183" t="s">
        <v>147</v>
      </c>
      <c r="I327" s="170"/>
    </row>
    <row r="328" spans="1:12" s="164" customFormat="1" x14ac:dyDescent="0.25">
      <c r="A328" s="212"/>
      <c r="B328" s="160"/>
      <c r="C328" s="161" t="s">
        <v>91</v>
      </c>
      <c r="D328" s="186">
        <v>41</v>
      </c>
      <c r="E328" s="186">
        <v>6</v>
      </c>
      <c r="F328" s="186">
        <v>0.8</v>
      </c>
      <c r="G328" s="186">
        <f>D328*E328*F328</f>
        <v>196.8</v>
      </c>
      <c r="H328" s="169" t="s">
        <v>43</v>
      </c>
      <c r="I328" s="170"/>
    </row>
    <row r="329" spans="1:12" s="164" customFormat="1" x14ac:dyDescent="0.25">
      <c r="A329" s="212"/>
      <c r="B329" s="160"/>
      <c r="C329" s="161"/>
      <c r="D329" s="186">
        <v>41</v>
      </c>
      <c r="E329" s="186">
        <v>0.5</v>
      </c>
      <c r="F329" s="186">
        <v>2.5</v>
      </c>
      <c r="G329" s="186">
        <f>D329*E329*F329</f>
        <v>51.25</v>
      </c>
      <c r="H329" s="169" t="s">
        <v>43</v>
      </c>
      <c r="I329" s="170"/>
    </row>
    <row r="330" spans="1:12" s="164" customFormat="1" x14ac:dyDescent="0.25">
      <c r="A330" s="212"/>
      <c r="B330" s="160"/>
      <c r="C330" s="161" t="s">
        <v>115</v>
      </c>
      <c r="D330" s="167"/>
      <c r="E330" s="185"/>
      <c r="F330" s="169"/>
      <c r="G330" s="186">
        <f>SUM(G328:G329)</f>
        <v>248.05</v>
      </c>
      <c r="H330" s="169" t="s">
        <v>43</v>
      </c>
      <c r="I330" s="170"/>
    </row>
    <row r="331" spans="1:12" s="164" customFormat="1" x14ac:dyDescent="0.25">
      <c r="A331" s="212"/>
      <c r="B331" s="160"/>
      <c r="C331" s="161"/>
      <c r="D331" s="167"/>
      <c r="E331" s="185"/>
      <c r="F331" s="169"/>
      <c r="G331" s="186"/>
      <c r="H331" s="169"/>
      <c r="I331" s="170"/>
    </row>
    <row r="332" spans="1:12" s="164" customFormat="1" ht="27.75" customHeight="1" x14ac:dyDescent="0.25">
      <c r="A332" s="212" t="s">
        <v>17</v>
      </c>
      <c r="B332" s="160" t="s">
        <v>65</v>
      </c>
      <c r="C332" s="168" t="s">
        <v>63</v>
      </c>
      <c r="D332" s="162" t="s">
        <v>107</v>
      </c>
      <c r="E332" s="194" t="s">
        <v>108</v>
      </c>
      <c r="F332" s="191" t="s">
        <v>122</v>
      </c>
      <c r="G332" s="191" t="s">
        <v>124</v>
      </c>
      <c r="H332" s="183" t="s">
        <v>147</v>
      </c>
      <c r="I332" s="170"/>
    </row>
    <row r="333" spans="1:12" s="164" customFormat="1" x14ac:dyDescent="0.25">
      <c r="A333" s="212"/>
      <c r="B333" s="137"/>
      <c r="C333" s="161" t="s">
        <v>91</v>
      </c>
      <c r="D333" s="186">
        <v>41</v>
      </c>
      <c r="E333" s="186">
        <v>6</v>
      </c>
      <c r="F333" s="186">
        <v>0.5</v>
      </c>
      <c r="G333" s="186">
        <f>D333*E333*F333</f>
        <v>123</v>
      </c>
      <c r="H333" s="169" t="s">
        <v>43</v>
      </c>
      <c r="I333" s="169"/>
    </row>
    <row r="334" spans="1:12" s="164" customFormat="1" x14ac:dyDescent="0.25">
      <c r="A334" s="212"/>
      <c r="B334" s="137"/>
      <c r="C334" s="138"/>
      <c r="D334" s="141"/>
      <c r="E334" s="139"/>
      <c r="F334" s="169"/>
      <c r="G334" s="169"/>
      <c r="H334" s="169"/>
      <c r="I334" s="169"/>
    </row>
    <row r="335" spans="1:12" s="164" customFormat="1" ht="25.5" x14ac:dyDescent="0.25">
      <c r="A335" s="212" t="s">
        <v>18</v>
      </c>
      <c r="B335" s="160" t="s">
        <v>66</v>
      </c>
      <c r="C335" s="168" t="s">
        <v>64</v>
      </c>
      <c r="D335" s="162"/>
      <c r="E335" s="194" t="s">
        <v>107</v>
      </c>
      <c r="F335" s="191" t="s">
        <v>109</v>
      </c>
      <c r="G335" s="191" t="s">
        <v>125</v>
      </c>
      <c r="H335" s="183" t="s">
        <v>147</v>
      </c>
      <c r="I335" s="170"/>
    </row>
    <row r="336" spans="1:12" s="164" customFormat="1" x14ac:dyDescent="0.25">
      <c r="A336" s="212"/>
      <c r="B336" s="160"/>
      <c r="C336" s="161" t="s">
        <v>91</v>
      </c>
      <c r="D336" s="186"/>
      <c r="E336" s="186">
        <v>41</v>
      </c>
      <c r="F336" s="186">
        <v>2.5</v>
      </c>
      <c r="G336" s="186">
        <f>E336*F336</f>
        <v>102.5</v>
      </c>
      <c r="H336" s="169" t="s">
        <v>4</v>
      </c>
      <c r="I336" s="170"/>
    </row>
    <row r="337" spans="1:9" s="164" customFormat="1" x14ac:dyDescent="0.25">
      <c r="A337" s="212"/>
      <c r="B337" s="160"/>
      <c r="C337" s="168"/>
      <c r="D337" s="167"/>
      <c r="E337" s="139"/>
      <c r="F337" s="169"/>
      <c r="G337" s="169"/>
      <c r="H337" s="169"/>
      <c r="I337" s="170"/>
    </row>
    <row r="338" spans="1:9" s="164" customFormat="1" x14ac:dyDescent="0.25">
      <c r="A338" s="213"/>
      <c r="B338" s="184"/>
      <c r="C338" s="197"/>
      <c r="D338" s="167"/>
      <c r="E338" s="185"/>
      <c r="F338" s="191"/>
      <c r="G338" s="191"/>
      <c r="H338" s="191"/>
      <c r="I338" s="170"/>
    </row>
    <row r="339" spans="1:9" s="164" customFormat="1" x14ac:dyDescent="0.25">
      <c r="A339" s="211">
        <v>3</v>
      </c>
      <c r="B339" s="178"/>
      <c r="C339" s="179" t="s">
        <v>26</v>
      </c>
      <c r="D339" s="193"/>
      <c r="E339" s="189"/>
      <c r="F339" s="190"/>
      <c r="G339" s="190"/>
      <c r="H339" s="190"/>
      <c r="I339" s="190"/>
    </row>
    <row r="340" spans="1:9" s="164" customFormat="1" ht="38.25" x14ac:dyDescent="0.25">
      <c r="A340" s="212" t="s">
        <v>5</v>
      </c>
      <c r="B340" s="160" t="s">
        <v>30</v>
      </c>
      <c r="C340" s="168" t="s">
        <v>29</v>
      </c>
      <c r="D340" s="162" t="s">
        <v>107</v>
      </c>
      <c r="E340" s="194" t="s">
        <v>108</v>
      </c>
      <c r="F340" s="191" t="s">
        <v>111</v>
      </c>
      <c r="G340" s="191" t="s">
        <v>125</v>
      </c>
      <c r="H340" s="183" t="s">
        <v>147</v>
      </c>
      <c r="I340" s="170"/>
    </row>
    <row r="341" spans="1:9" s="164" customFormat="1" x14ac:dyDescent="0.25">
      <c r="A341" s="212"/>
      <c r="B341" s="160"/>
      <c r="C341" s="161" t="s">
        <v>91</v>
      </c>
      <c r="D341" s="186">
        <v>41</v>
      </c>
      <c r="E341" s="186">
        <f>(1.5+6)/2</f>
        <v>3.75</v>
      </c>
      <c r="F341" s="186">
        <v>2</v>
      </c>
      <c r="G341" s="186">
        <f>D341*E341*F341</f>
        <v>307.5</v>
      </c>
      <c r="H341" s="169" t="s">
        <v>4</v>
      </c>
      <c r="I341" s="170"/>
    </row>
    <row r="342" spans="1:9" s="164" customFormat="1" x14ac:dyDescent="0.25">
      <c r="A342" s="212"/>
      <c r="B342" s="160"/>
      <c r="C342" s="168"/>
      <c r="D342" s="167"/>
      <c r="E342" s="158"/>
      <c r="F342" s="202"/>
      <c r="G342" s="169"/>
      <c r="H342" s="169"/>
      <c r="I342" s="170"/>
    </row>
    <row r="343" spans="1:9" s="164" customFormat="1" ht="25.5" x14ac:dyDescent="0.25">
      <c r="A343" s="212" t="s">
        <v>6</v>
      </c>
      <c r="B343" s="137" t="s">
        <v>32</v>
      </c>
      <c r="C343" s="138" t="s">
        <v>31</v>
      </c>
      <c r="D343" s="162" t="s">
        <v>107</v>
      </c>
      <c r="E343" s="194" t="s">
        <v>109</v>
      </c>
      <c r="F343" s="191" t="s">
        <v>108</v>
      </c>
      <c r="G343" s="191" t="s">
        <v>124</v>
      </c>
      <c r="H343" s="183" t="s">
        <v>147</v>
      </c>
      <c r="I343" s="169"/>
    </row>
    <row r="344" spans="1:9" s="164" customFormat="1" x14ac:dyDescent="0.25">
      <c r="A344" s="212"/>
      <c r="B344" s="137"/>
      <c r="C344" s="161" t="s">
        <v>91</v>
      </c>
      <c r="D344" s="186">
        <v>41</v>
      </c>
      <c r="E344" s="186">
        <v>2.5</v>
      </c>
      <c r="F344" s="186">
        <v>0.5</v>
      </c>
      <c r="G344" s="186">
        <f>D344*E344*F344</f>
        <v>51.25</v>
      </c>
      <c r="H344" s="169" t="s">
        <v>127</v>
      </c>
      <c r="I344" s="169"/>
    </row>
    <row r="345" spans="1:9" s="164" customFormat="1" x14ac:dyDescent="0.25">
      <c r="A345" s="212"/>
      <c r="B345" s="137"/>
      <c r="C345" s="161"/>
      <c r="D345" s="186">
        <v>41</v>
      </c>
      <c r="E345" s="186">
        <v>3.75</v>
      </c>
      <c r="F345" s="186">
        <v>1</v>
      </c>
      <c r="G345" s="186">
        <f>D345*E345*F345</f>
        <v>153.75</v>
      </c>
      <c r="H345" s="169" t="s">
        <v>43</v>
      </c>
      <c r="I345" s="169"/>
    </row>
    <row r="346" spans="1:9" s="164" customFormat="1" x14ac:dyDescent="0.25">
      <c r="A346" s="212"/>
      <c r="B346" s="137"/>
      <c r="C346" s="138" t="s">
        <v>148</v>
      </c>
      <c r="D346" s="186"/>
      <c r="E346" s="186"/>
      <c r="F346" s="186"/>
      <c r="G346" s="186">
        <f>SUM(G344+G345)</f>
        <v>205</v>
      </c>
      <c r="H346" s="169" t="s">
        <v>43</v>
      </c>
      <c r="I346" s="169"/>
    </row>
    <row r="347" spans="1:9" s="164" customFormat="1" x14ac:dyDescent="0.25">
      <c r="A347" s="212"/>
      <c r="B347" s="137"/>
      <c r="C347" s="138"/>
      <c r="D347" s="167"/>
      <c r="E347" s="139"/>
      <c r="F347" s="169"/>
      <c r="G347" s="169"/>
      <c r="H347" s="169"/>
      <c r="I347" s="169"/>
    </row>
    <row r="348" spans="1:9" s="164" customFormat="1" ht="25.5" x14ac:dyDescent="0.25">
      <c r="A348" s="212" t="s">
        <v>7</v>
      </c>
      <c r="B348" s="137" t="s">
        <v>34</v>
      </c>
      <c r="C348" s="138" t="s">
        <v>33</v>
      </c>
      <c r="D348" s="141"/>
      <c r="E348" s="139"/>
      <c r="F348" s="169"/>
      <c r="G348" s="162" t="s">
        <v>107</v>
      </c>
      <c r="H348" s="183" t="s">
        <v>147</v>
      </c>
      <c r="I348" s="169"/>
    </row>
    <row r="349" spans="1:9" s="164" customFormat="1" x14ac:dyDescent="0.25">
      <c r="A349" s="212"/>
      <c r="B349" s="137"/>
      <c r="C349" s="138" t="s">
        <v>123</v>
      </c>
      <c r="D349" s="141"/>
      <c r="E349" s="139"/>
      <c r="F349" s="169"/>
      <c r="G349" s="186">
        <f>40*3*2</f>
        <v>240</v>
      </c>
      <c r="H349" s="169" t="s">
        <v>67</v>
      </c>
      <c r="I349" s="169"/>
    </row>
    <row r="350" spans="1:9" s="164" customFormat="1" x14ac:dyDescent="0.25">
      <c r="A350" s="212"/>
      <c r="B350" s="137"/>
      <c r="C350" s="138" t="s">
        <v>146</v>
      </c>
      <c r="D350" s="141"/>
      <c r="E350" s="139"/>
      <c r="F350" s="169"/>
      <c r="G350" s="186">
        <f>40*0.5</f>
        <v>20</v>
      </c>
      <c r="H350" s="169" t="s">
        <v>67</v>
      </c>
      <c r="I350" s="169"/>
    </row>
    <row r="351" spans="1:9" s="164" customFormat="1" x14ac:dyDescent="0.25">
      <c r="A351" s="212"/>
      <c r="B351" s="137"/>
      <c r="C351" s="138" t="s">
        <v>148</v>
      </c>
      <c r="D351" s="141"/>
      <c r="E351" s="139"/>
      <c r="F351" s="169"/>
      <c r="G351" s="186">
        <f>G350+G349</f>
        <v>260</v>
      </c>
      <c r="H351" s="169" t="s">
        <v>67</v>
      </c>
      <c r="I351" s="169"/>
    </row>
    <row r="352" spans="1:9" s="164" customFormat="1" x14ac:dyDescent="0.25">
      <c r="A352" s="212"/>
      <c r="B352" s="137"/>
      <c r="C352" s="138"/>
      <c r="D352" s="141"/>
      <c r="E352" s="139"/>
      <c r="F352" s="169"/>
      <c r="G352" s="169"/>
      <c r="H352" s="169"/>
      <c r="I352" s="169"/>
    </row>
    <row r="353" spans="1:12" s="164" customFormat="1" ht="25.5" x14ac:dyDescent="0.25">
      <c r="A353" s="212" t="s">
        <v>39</v>
      </c>
      <c r="B353" s="160" t="s">
        <v>36</v>
      </c>
      <c r="C353" s="168" t="s">
        <v>35</v>
      </c>
      <c r="D353" s="162" t="s">
        <v>107</v>
      </c>
      <c r="E353" s="194" t="s">
        <v>109</v>
      </c>
      <c r="F353" s="191" t="s">
        <v>108</v>
      </c>
      <c r="G353" s="191" t="s">
        <v>124</v>
      </c>
      <c r="H353" s="183" t="s">
        <v>147</v>
      </c>
      <c r="I353" s="194"/>
    </row>
    <row r="354" spans="1:12" s="164" customFormat="1" x14ac:dyDescent="0.25">
      <c r="A354" s="212"/>
      <c r="B354" s="137"/>
      <c r="C354" s="161" t="s">
        <v>91</v>
      </c>
      <c r="D354" s="186">
        <v>41</v>
      </c>
      <c r="E354" s="186">
        <v>0.5</v>
      </c>
      <c r="F354" s="186">
        <f>E345</f>
        <v>3.75</v>
      </c>
      <c r="G354" s="186">
        <f>D354*E354*F354</f>
        <v>76.875</v>
      </c>
      <c r="H354" s="169" t="s">
        <v>43</v>
      </c>
      <c r="I354" s="169"/>
    </row>
    <row r="355" spans="1:12" s="164" customFormat="1" x14ac:dyDescent="0.25">
      <c r="A355" s="212"/>
      <c r="B355" s="137"/>
      <c r="C355" s="138"/>
      <c r="D355" s="141"/>
      <c r="E355" s="139"/>
      <c r="F355" s="169"/>
      <c r="G355" s="169"/>
      <c r="H355" s="169"/>
      <c r="I355" s="169"/>
    </row>
    <row r="356" spans="1:12" s="164" customFormat="1" ht="9" customHeight="1" x14ac:dyDescent="0.25">
      <c r="A356" s="211"/>
      <c r="B356" s="178"/>
      <c r="C356" s="179"/>
      <c r="D356" s="193"/>
      <c r="E356" s="189"/>
      <c r="F356" s="196"/>
      <c r="G356" s="196"/>
      <c r="H356" s="196"/>
      <c r="I356" s="190"/>
    </row>
    <row r="357" spans="1:12" s="164" customFormat="1" x14ac:dyDescent="0.25">
      <c r="A357" s="214"/>
      <c r="B357" s="203"/>
      <c r="C357" s="270" t="s">
        <v>20</v>
      </c>
      <c r="D357" s="270" t="s">
        <v>19</v>
      </c>
      <c r="E357" s="270"/>
      <c r="F357" s="270"/>
      <c r="G357" s="270"/>
      <c r="H357" s="270"/>
      <c r="I357" s="270"/>
      <c r="J357" s="204"/>
    </row>
    <row r="358" spans="1:12" s="164" customFormat="1" ht="20.25" customHeight="1" x14ac:dyDescent="0.25">
      <c r="A358" s="214"/>
      <c r="B358" s="203"/>
      <c r="C358" s="270"/>
      <c r="D358" s="270"/>
      <c r="E358" s="270"/>
      <c r="F358" s="270"/>
      <c r="G358" s="270"/>
      <c r="H358" s="270"/>
      <c r="I358" s="270"/>
      <c r="J358" s="204"/>
    </row>
    <row r="359" spans="1:12" s="164" customFormat="1" x14ac:dyDescent="0.25">
      <c r="A359" s="214"/>
      <c r="B359" s="203"/>
      <c r="C359" s="205" t="s">
        <v>149</v>
      </c>
      <c r="D359" s="270" t="s">
        <v>77</v>
      </c>
      <c r="E359" s="270"/>
      <c r="F359" s="270"/>
      <c r="G359" s="270"/>
      <c r="H359" s="270"/>
      <c r="I359" s="270"/>
      <c r="J359" s="204"/>
    </row>
    <row r="360" spans="1:12" s="164" customFormat="1" ht="21.75" customHeight="1" x14ac:dyDescent="0.25">
      <c r="A360" s="214"/>
      <c r="B360" s="203"/>
      <c r="C360" s="206" t="s">
        <v>150</v>
      </c>
      <c r="D360" s="271" t="s">
        <v>14</v>
      </c>
      <c r="E360" s="271"/>
      <c r="F360" s="271"/>
      <c r="G360" s="271"/>
      <c r="H360" s="271"/>
      <c r="I360" s="271"/>
      <c r="J360" s="204"/>
    </row>
    <row r="361" spans="1:12" s="164" customFormat="1" x14ac:dyDescent="0.25">
      <c r="A361" s="215"/>
      <c r="B361" s="207"/>
      <c r="C361" s="204"/>
      <c r="D361" s="204"/>
      <c r="E361" s="204"/>
      <c r="F361" s="204"/>
      <c r="G361" s="204"/>
      <c r="H361" s="204"/>
      <c r="I361" s="208"/>
      <c r="J361" s="204"/>
    </row>
    <row r="362" spans="1:12" s="164" customFormat="1" ht="28.5" customHeight="1" x14ac:dyDescent="0.25">
      <c r="A362" s="215"/>
      <c r="B362" s="207"/>
      <c r="C362" s="204"/>
      <c r="D362" s="204"/>
      <c r="E362" s="204"/>
      <c r="F362" s="204"/>
      <c r="G362" s="204"/>
      <c r="H362" s="204"/>
      <c r="I362" s="208"/>
      <c r="J362" s="204"/>
    </row>
    <row r="363" spans="1:12" s="164" customFormat="1" x14ac:dyDescent="0.25">
      <c r="A363" s="215"/>
      <c r="B363" s="207"/>
      <c r="C363" s="204"/>
      <c r="D363" s="204"/>
      <c r="E363" s="204"/>
      <c r="F363" s="204"/>
      <c r="G363" s="204"/>
      <c r="H363" s="204"/>
      <c r="I363" s="208"/>
      <c r="J363" s="204"/>
    </row>
    <row r="364" spans="1:12" s="164" customFormat="1" x14ac:dyDescent="0.25">
      <c r="A364" s="215"/>
      <c r="B364" s="207"/>
      <c r="C364" s="204"/>
      <c r="D364" s="204"/>
      <c r="E364" s="204"/>
      <c r="F364" s="204"/>
      <c r="G364" s="204"/>
      <c r="H364" s="204"/>
      <c r="I364" s="208"/>
      <c r="J364" s="204"/>
    </row>
    <row r="365" spans="1:12" s="164" customFormat="1" ht="17.25" customHeight="1" x14ac:dyDescent="0.25">
      <c r="A365" s="215"/>
      <c r="B365" s="207"/>
      <c r="C365" s="204"/>
      <c r="D365" s="204"/>
      <c r="E365" s="204"/>
      <c r="F365" s="204"/>
      <c r="G365" s="204"/>
      <c r="H365" s="204"/>
      <c r="I365" s="208"/>
      <c r="J365" s="204"/>
      <c r="K365" s="204"/>
      <c r="L365" s="204"/>
    </row>
    <row r="366" spans="1:12" s="164" customFormat="1" ht="19.5" customHeight="1" x14ac:dyDescent="0.25">
      <c r="A366" s="215"/>
      <c r="B366" s="207"/>
      <c r="C366" s="204"/>
      <c r="D366" s="204"/>
      <c r="E366" s="204"/>
      <c r="F366" s="204"/>
      <c r="G366" s="204"/>
      <c r="H366" s="204"/>
      <c r="I366" s="208"/>
      <c r="J366" s="204"/>
      <c r="K366" s="204"/>
      <c r="L366" s="204"/>
    </row>
    <row r="367" spans="1:12" s="164" customFormat="1" x14ac:dyDescent="0.25">
      <c r="A367" s="215"/>
      <c r="B367" s="207"/>
      <c r="C367" s="204"/>
      <c r="D367" s="204"/>
      <c r="E367" s="204"/>
      <c r="F367" s="204"/>
      <c r="G367" s="204"/>
      <c r="H367" s="204"/>
      <c r="I367" s="208"/>
      <c r="J367" s="204"/>
      <c r="K367" s="204"/>
      <c r="L367" s="204"/>
    </row>
    <row r="368" spans="1:12" s="164" customFormat="1" ht="29.25" customHeight="1" x14ac:dyDescent="0.25">
      <c r="A368" s="215"/>
      <c r="B368" s="207"/>
      <c r="C368" s="204"/>
      <c r="D368" s="204"/>
      <c r="E368" s="204"/>
      <c r="F368" s="204"/>
      <c r="G368" s="204"/>
      <c r="H368" s="204"/>
      <c r="I368" s="208"/>
      <c r="J368" s="204"/>
      <c r="K368" s="204"/>
      <c r="L368" s="204"/>
    </row>
    <row r="369" spans="1:12" s="164" customFormat="1" x14ac:dyDescent="0.25">
      <c r="A369" s="215"/>
      <c r="B369" s="207"/>
      <c r="C369" s="204"/>
      <c r="D369" s="204"/>
      <c r="E369" s="204"/>
      <c r="F369" s="204"/>
      <c r="G369" s="204"/>
      <c r="H369" s="204"/>
      <c r="I369" s="208"/>
      <c r="J369" s="204"/>
      <c r="K369" s="204"/>
      <c r="L369" s="204"/>
    </row>
    <row r="370" spans="1:12" s="164" customFormat="1" x14ac:dyDescent="0.25">
      <c r="A370" s="215"/>
      <c r="B370" s="207"/>
      <c r="C370" s="204"/>
      <c r="D370" s="204"/>
      <c r="E370" s="204"/>
      <c r="F370" s="204"/>
      <c r="G370" s="204"/>
      <c r="H370" s="204"/>
      <c r="I370" s="208"/>
      <c r="J370" s="204"/>
      <c r="K370" s="204"/>
      <c r="L370" s="204"/>
    </row>
    <row r="371" spans="1:12" s="164" customFormat="1" x14ac:dyDescent="0.25">
      <c r="A371" s="215"/>
      <c r="B371" s="207"/>
      <c r="C371" s="204"/>
      <c r="D371" s="204"/>
      <c r="E371" s="204"/>
      <c r="F371" s="204"/>
      <c r="G371" s="204"/>
      <c r="H371" s="204"/>
      <c r="I371" s="208"/>
      <c r="J371" s="204"/>
      <c r="K371" s="204"/>
      <c r="L371" s="204"/>
    </row>
  </sheetData>
  <mergeCells count="16">
    <mergeCell ref="K283:L283"/>
    <mergeCell ref="C357:C358"/>
    <mergeCell ref="D357:I358"/>
    <mergeCell ref="D359:I359"/>
    <mergeCell ref="D360:I360"/>
    <mergeCell ref="A285:I285"/>
    <mergeCell ref="K120:L120"/>
    <mergeCell ref="A157:F157"/>
    <mergeCell ref="K160:L160"/>
    <mergeCell ref="A1:B5"/>
    <mergeCell ref="C1:I1"/>
    <mergeCell ref="C3:C4"/>
    <mergeCell ref="K9:L9"/>
    <mergeCell ref="D2:I2"/>
    <mergeCell ref="A27:I27"/>
    <mergeCell ref="A80:I80"/>
  </mergeCells>
  <pageMargins left="0.7" right="0.7" top="0.75" bottom="0.75" header="0.3" footer="0.3"/>
  <pageSetup paperSize="9" scale="6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pageSetUpPr fitToPage="1"/>
  </sheetPr>
  <dimension ref="A1:S34"/>
  <sheetViews>
    <sheetView tabSelected="1" view="pageBreakPreview" topLeftCell="B1" zoomScaleNormal="100" zoomScaleSheetLayoutView="100" workbookViewId="0">
      <selection activeCell="A33" sqref="A33:E33"/>
    </sheetView>
  </sheetViews>
  <sheetFormatPr defaultRowHeight="12.75" x14ac:dyDescent="0.25"/>
  <cols>
    <col min="1" max="1" width="6" style="71" hidden="1" customWidth="1"/>
    <col min="2" max="2" width="24.28515625" style="72" customWidth="1"/>
    <col min="3" max="3" width="17.28515625" style="71" customWidth="1"/>
    <col min="4" max="4" width="12.7109375" style="71" customWidth="1"/>
    <col min="5" max="5" width="13.85546875" style="73" customWidth="1"/>
    <col min="6" max="6" width="16.28515625" style="71" customWidth="1"/>
    <col min="7" max="7" width="35.7109375" style="74" customWidth="1"/>
    <col min="8" max="9" width="10.7109375" style="75" hidden="1" customWidth="1"/>
    <col min="10" max="10" width="10.7109375" style="76" hidden="1" customWidth="1"/>
    <col min="11" max="11" width="10.7109375" style="46" hidden="1" customWidth="1"/>
    <col min="12" max="14" width="9.140625" style="46"/>
    <col min="15" max="15" width="10.140625" style="46" bestFit="1" customWidth="1"/>
    <col min="16" max="256" width="9.140625" style="46"/>
    <col min="257" max="257" width="6" style="46" bestFit="1" customWidth="1"/>
    <col min="258" max="258" width="18.7109375" style="46" bestFit="1" customWidth="1"/>
    <col min="259" max="267" width="10.7109375" style="46" customWidth="1"/>
    <col min="268" max="512" width="9.140625" style="46"/>
    <col min="513" max="513" width="6" style="46" bestFit="1" customWidth="1"/>
    <col min="514" max="514" width="18.7109375" style="46" bestFit="1" customWidth="1"/>
    <col min="515" max="523" width="10.7109375" style="46" customWidth="1"/>
    <col min="524" max="768" width="9.140625" style="46"/>
    <col min="769" max="769" width="6" style="46" bestFit="1" customWidth="1"/>
    <col min="770" max="770" width="18.7109375" style="46" bestFit="1" customWidth="1"/>
    <col min="771" max="779" width="10.7109375" style="46" customWidth="1"/>
    <col min="780" max="1024" width="9.140625" style="46"/>
    <col min="1025" max="1025" width="6" style="46" bestFit="1" customWidth="1"/>
    <col min="1026" max="1026" width="18.7109375" style="46" bestFit="1" customWidth="1"/>
    <col min="1027" max="1035" width="10.7109375" style="46" customWidth="1"/>
    <col min="1036" max="1280" width="9.140625" style="46"/>
    <col min="1281" max="1281" width="6" style="46" bestFit="1" customWidth="1"/>
    <col min="1282" max="1282" width="18.7109375" style="46" bestFit="1" customWidth="1"/>
    <col min="1283" max="1291" width="10.7109375" style="46" customWidth="1"/>
    <col min="1292" max="1536" width="9.140625" style="46"/>
    <col min="1537" max="1537" width="6" style="46" bestFit="1" customWidth="1"/>
    <col min="1538" max="1538" width="18.7109375" style="46" bestFit="1" customWidth="1"/>
    <col min="1539" max="1547" width="10.7109375" style="46" customWidth="1"/>
    <col min="1548" max="1792" width="9.140625" style="46"/>
    <col min="1793" max="1793" width="6" style="46" bestFit="1" customWidth="1"/>
    <col min="1794" max="1794" width="18.7109375" style="46" bestFit="1" customWidth="1"/>
    <col min="1795" max="1803" width="10.7109375" style="46" customWidth="1"/>
    <col min="1804" max="2048" width="9.140625" style="46"/>
    <col min="2049" max="2049" width="6" style="46" bestFit="1" customWidth="1"/>
    <col min="2050" max="2050" width="18.7109375" style="46" bestFit="1" customWidth="1"/>
    <col min="2051" max="2059" width="10.7109375" style="46" customWidth="1"/>
    <col min="2060" max="2304" width="9.140625" style="46"/>
    <col min="2305" max="2305" width="6" style="46" bestFit="1" customWidth="1"/>
    <col min="2306" max="2306" width="18.7109375" style="46" bestFit="1" customWidth="1"/>
    <col min="2307" max="2315" width="10.7109375" style="46" customWidth="1"/>
    <col min="2316" max="2560" width="9.140625" style="46"/>
    <col min="2561" max="2561" width="6" style="46" bestFit="1" customWidth="1"/>
    <col min="2562" max="2562" width="18.7109375" style="46" bestFit="1" customWidth="1"/>
    <col min="2563" max="2571" width="10.7109375" style="46" customWidth="1"/>
    <col min="2572" max="2816" width="9.140625" style="46"/>
    <col min="2817" max="2817" width="6" style="46" bestFit="1" customWidth="1"/>
    <col min="2818" max="2818" width="18.7109375" style="46" bestFit="1" customWidth="1"/>
    <col min="2819" max="2827" width="10.7109375" style="46" customWidth="1"/>
    <col min="2828" max="3072" width="9.140625" style="46"/>
    <col min="3073" max="3073" width="6" style="46" bestFit="1" customWidth="1"/>
    <col min="3074" max="3074" width="18.7109375" style="46" bestFit="1" customWidth="1"/>
    <col min="3075" max="3083" width="10.7109375" style="46" customWidth="1"/>
    <col min="3084" max="3328" width="9.140625" style="46"/>
    <col min="3329" max="3329" width="6" style="46" bestFit="1" customWidth="1"/>
    <col min="3330" max="3330" width="18.7109375" style="46" bestFit="1" customWidth="1"/>
    <col min="3331" max="3339" width="10.7109375" style="46" customWidth="1"/>
    <col min="3340" max="3584" width="9.140625" style="46"/>
    <col min="3585" max="3585" width="6" style="46" bestFit="1" customWidth="1"/>
    <col min="3586" max="3586" width="18.7109375" style="46" bestFit="1" customWidth="1"/>
    <col min="3587" max="3595" width="10.7109375" style="46" customWidth="1"/>
    <col min="3596" max="3840" width="9.140625" style="46"/>
    <col min="3841" max="3841" width="6" style="46" bestFit="1" customWidth="1"/>
    <col min="3842" max="3842" width="18.7109375" style="46" bestFit="1" customWidth="1"/>
    <col min="3843" max="3851" width="10.7109375" style="46" customWidth="1"/>
    <col min="3852" max="4096" width="9.140625" style="46"/>
    <col min="4097" max="4097" width="6" style="46" bestFit="1" customWidth="1"/>
    <col min="4098" max="4098" width="18.7109375" style="46" bestFit="1" customWidth="1"/>
    <col min="4099" max="4107" width="10.7109375" style="46" customWidth="1"/>
    <col min="4108" max="4352" width="9.140625" style="46"/>
    <col min="4353" max="4353" width="6" style="46" bestFit="1" customWidth="1"/>
    <col min="4354" max="4354" width="18.7109375" style="46" bestFit="1" customWidth="1"/>
    <col min="4355" max="4363" width="10.7109375" style="46" customWidth="1"/>
    <col min="4364" max="4608" width="9.140625" style="46"/>
    <col min="4609" max="4609" width="6" style="46" bestFit="1" customWidth="1"/>
    <col min="4610" max="4610" width="18.7109375" style="46" bestFit="1" customWidth="1"/>
    <col min="4611" max="4619" width="10.7109375" style="46" customWidth="1"/>
    <col min="4620" max="4864" width="9.140625" style="46"/>
    <col min="4865" max="4865" width="6" style="46" bestFit="1" customWidth="1"/>
    <col min="4866" max="4866" width="18.7109375" style="46" bestFit="1" customWidth="1"/>
    <col min="4867" max="4875" width="10.7109375" style="46" customWidth="1"/>
    <col min="4876" max="5120" width="9.140625" style="46"/>
    <col min="5121" max="5121" width="6" style="46" bestFit="1" customWidth="1"/>
    <col min="5122" max="5122" width="18.7109375" style="46" bestFit="1" customWidth="1"/>
    <col min="5123" max="5131" width="10.7109375" style="46" customWidth="1"/>
    <col min="5132" max="5376" width="9.140625" style="46"/>
    <col min="5377" max="5377" width="6" style="46" bestFit="1" customWidth="1"/>
    <col min="5378" max="5378" width="18.7109375" style="46" bestFit="1" customWidth="1"/>
    <col min="5379" max="5387" width="10.7109375" style="46" customWidth="1"/>
    <col min="5388" max="5632" width="9.140625" style="46"/>
    <col min="5633" max="5633" width="6" style="46" bestFit="1" customWidth="1"/>
    <col min="5634" max="5634" width="18.7109375" style="46" bestFit="1" customWidth="1"/>
    <col min="5635" max="5643" width="10.7109375" style="46" customWidth="1"/>
    <col min="5644" max="5888" width="9.140625" style="46"/>
    <col min="5889" max="5889" width="6" style="46" bestFit="1" customWidth="1"/>
    <col min="5890" max="5890" width="18.7109375" style="46" bestFit="1" customWidth="1"/>
    <col min="5891" max="5899" width="10.7109375" style="46" customWidth="1"/>
    <col min="5900" max="6144" width="9.140625" style="46"/>
    <col min="6145" max="6145" width="6" style="46" bestFit="1" customWidth="1"/>
    <col min="6146" max="6146" width="18.7109375" style="46" bestFit="1" customWidth="1"/>
    <col min="6147" max="6155" width="10.7109375" style="46" customWidth="1"/>
    <col min="6156" max="6400" width="9.140625" style="46"/>
    <col min="6401" max="6401" width="6" style="46" bestFit="1" customWidth="1"/>
    <col min="6402" max="6402" width="18.7109375" style="46" bestFit="1" customWidth="1"/>
    <col min="6403" max="6411" width="10.7109375" style="46" customWidth="1"/>
    <col min="6412" max="6656" width="9.140625" style="46"/>
    <col min="6657" max="6657" width="6" style="46" bestFit="1" customWidth="1"/>
    <col min="6658" max="6658" width="18.7109375" style="46" bestFit="1" customWidth="1"/>
    <col min="6659" max="6667" width="10.7109375" style="46" customWidth="1"/>
    <col min="6668" max="6912" width="9.140625" style="46"/>
    <col min="6913" max="6913" width="6" style="46" bestFit="1" customWidth="1"/>
    <col min="6914" max="6914" width="18.7109375" style="46" bestFit="1" customWidth="1"/>
    <col min="6915" max="6923" width="10.7109375" style="46" customWidth="1"/>
    <col min="6924" max="7168" width="9.140625" style="46"/>
    <col min="7169" max="7169" width="6" style="46" bestFit="1" customWidth="1"/>
    <col min="7170" max="7170" width="18.7109375" style="46" bestFit="1" customWidth="1"/>
    <col min="7171" max="7179" width="10.7109375" style="46" customWidth="1"/>
    <col min="7180" max="7424" width="9.140625" style="46"/>
    <col min="7425" max="7425" width="6" style="46" bestFit="1" customWidth="1"/>
    <col min="7426" max="7426" width="18.7109375" style="46" bestFit="1" customWidth="1"/>
    <col min="7427" max="7435" width="10.7109375" style="46" customWidth="1"/>
    <col min="7436" max="7680" width="9.140625" style="46"/>
    <col min="7681" max="7681" width="6" style="46" bestFit="1" customWidth="1"/>
    <col min="7682" max="7682" width="18.7109375" style="46" bestFit="1" customWidth="1"/>
    <col min="7683" max="7691" width="10.7109375" style="46" customWidth="1"/>
    <col min="7692" max="7936" width="9.140625" style="46"/>
    <col min="7937" max="7937" width="6" style="46" bestFit="1" customWidth="1"/>
    <col min="7938" max="7938" width="18.7109375" style="46" bestFit="1" customWidth="1"/>
    <col min="7939" max="7947" width="10.7109375" style="46" customWidth="1"/>
    <col min="7948" max="8192" width="9.140625" style="46"/>
    <col min="8193" max="8193" width="6" style="46" bestFit="1" customWidth="1"/>
    <col min="8194" max="8194" width="18.7109375" style="46" bestFit="1" customWidth="1"/>
    <col min="8195" max="8203" width="10.7109375" style="46" customWidth="1"/>
    <col min="8204" max="8448" width="9.140625" style="46"/>
    <col min="8449" max="8449" width="6" style="46" bestFit="1" customWidth="1"/>
    <col min="8450" max="8450" width="18.7109375" style="46" bestFit="1" customWidth="1"/>
    <col min="8451" max="8459" width="10.7109375" style="46" customWidth="1"/>
    <col min="8460" max="8704" width="9.140625" style="46"/>
    <col min="8705" max="8705" width="6" style="46" bestFit="1" customWidth="1"/>
    <col min="8706" max="8706" width="18.7109375" style="46" bestFit="1" customWidth="1"/>
    <col min="8707" max="8715" width="10.7109375" style="46" customWidth="1"/>
    <col min="8716" max="8960" width="9.140625" style="46"/>
    <col min="8961" max="8961" width="6" style="46" bestFit="1" customWidth="1"/>
    <col min="8962" max="8962" width="18.7109375" style="46" bestFit="1" customWidth="1"/>
    <col min="8963" max="8971" width="10.7109375" style="46" customWidth="1"/>
    <col min="8972" max="9216" width="9.140625" style="46"/>
    <col min="9217" max="9217" width="6" style="46" bestFit="1" customWidth="1"/>
    <col min="9218" max="9218" width="18.7109375" style="46" bestFit="1" customWidth="1"/>
    <col min="9219" max="9227" width="10.7109375" style="46" customWidth="1"/>
    <col min="9228" max="9472" width="9.140625" style="46"/>
    <col min="9473" max="9473" width="6" style="46" bestFit="1" customWidth="1"/>
    <col min="9474" max="9474" width="18.7109375" style="46" bestFit="1" customWidth="1"/>
    <col min="9475" max="9483" width="10.7109375" style="46" customWidth="1"/>
    <col min="9484" max="9728" width="9.140625" style="46"/>
    <col min="9729" max="9729" width="6" style="46" bestFit="1" customWidth="1"/>
    <col min="9730" max="9730" width="18.7109375" style="46" bestFit="1" customWidth="1"/>
    <col min="9731" max="9739" width="10.7109375" style="46" customWidth="1"/>
    <col min="9740" max="9984" width="9.140625" style="46"/>
    <col min="9985" max="9985" width="6" style="46" bestFit="1" customWidth="1"/>
    <col min="9986" max="9986" width="18.7109375" style="46" bestFit="1" customWidth="1"/>
    <col min="9987" max="9995" width="10.7109375" style="46" customWidth="1"/>
    <col min="9996" max="10240" width="9.140625" style="46"/>
    <col min="10241" max="10241" width="6" style="46" bestFit="1" customWidth="1"/>
    <col min="10242" max="10242" width="18.7109375" style="46" bestFit="1" customWidth="1"/>
    <col min="10243" max="10251" width="10.7109375" style="46" customWidth="1"/>
    <col min="10252" max="10496" width="9.140625" style="46"/>
    <col min="10497" max="10497" width="6" style="46" bestFit="1" customWidth="1"/>
    <col min="10498" max="10498" width="18.7109375" style="46" bestFit="1" customWidth="1"/>
    <col min="10499" max="10507" width="10.7109375" style="46" customWidth="1"/>
    <col min="10508" max="10752" width="9.140625" style="46"/>
    <col min="10753" max="10753" width="6" style="46" bestFit="1" customWidth="1"/>
    <col min="10754" max="10754" width="18.7109375" style="46" bestFit="1" customWidth="1"/>
    <col min="10755" max="10763" width="10.7109375" style="46" customWidth="1"/>
    <col min="10764" max="11008" width="9.140625" style="46"/>
    <col min="11009" max="11009" width="6" style="46" bestFit="1" customWidth="1"/>
    <col min="11010" max="11010" width="18.7109375" style="46" bestFit="1" customWidth="1"/>
    <col min="11011" max="11019" width="10.7109375" style="46" customWidth="1"/>
    <col min="11020" max="11264" width="9.140625" style="46"/>
    <col min="11265" max="11265" width="6" style="46" bestFit="1" customWidth="1"/>
    <col min="11266" max="11266" width="18.7109375" style="46" bestFit="1" customWidth="1"/>
    <col min="11267" max="11275" width="10.7109375" style="46" customWidth="1"/>
    <col min="11276" max="11520" width="9.140625" style="46"/>
    <col min="11521" max="11521" width="6" style="46" bestFit="1" customWidth="1"/>
    <col min="11522" max="11522" width="18.7109375" style="46" bestFit="1" customWidth="1"/>
    <col min="11523" max="11531" width="10.7109375" style="46" customWidth="1"/>
    <col min="11532" max="11776" width="9.140625" style="46"/>
    <col min="11777" max="11777" width="6" style="46" bestFit="1" customWidth="1"/>
    <col min="11778" max="11778" width="18.7109375" style="46" bestFit="1" customWidth="1"/>
    <col min="11779" max="11787" width="10.7109375" style="46" customWidth="1"/>
    <col min="11788" max="12032" width="9.140625" style="46"/>
    <col min="12033" max="12033" width="6" style="46" bestFit="1" customWidth="1"/>
    <col min="12034" max="12034" width="18.7109375" style="46" bestFit="1" customWidth="1"/>
    <col min="12035" max="12043" width="10.7109375" style="46" customWidth="1"/>
    <col min="12044" max="12288" width="9.140625" style="46"/>
    <col min="12289" max="12289" width="6" style="46" bestFit="1" customWidth="1"/>
    <col min="12290" max="12290" width="18.7109375" style="46" bestFit="1" customWidth="1"/>
    <col min="12291" max="12299" width="10.7109375" style="46" customWidth="1"/>
    <col min="12300" max="12544" width="9.140625" style="46"/>
    <col min="12545" max="12545" width="6" style="46" bestFit="1" customWidth="1"/>
    <col min="12546" max="12546" width="18.7109375" style="46" bestFit="1" customWidth="1"/>
    <col min="12547" max="12555" width="10.7109375" style="46" customWidth="1"/>
    <col min="12556" max="12800" width="9.140625" style="46"/>
    <col min="12801" max="12801" width="6" style="46" bestFit="1" customWidth="1"/>
    <col min="12802" max="12802" width="18.7109375" style="46" bestFit="1" customWidth="1"/>
    <col min="12803" max="12811" width="10.7109375" style="46" customWidth="1"/>
    <col min="12812" max="13056" width="9.140625" style="46"/>
    <col min="13057" max="13057" width="6" style="46" bestFit="1" customWidth="1"/>
    <col min="13058" max="13058" width="18.7109375" style="46" bestFit="1" customWidth="1"/>
    <col min="13059" max="13067" width="10.7109375" style="46" customWidth="1"/>
    <col min="13068" max="13312" width="9.140625" style="46"/>
    <col min="13313" max="13313" width="6" style="46" bestFit="1" customWidth="1"/>
    <col min="13314" max="13314" width="18.7109375" style="46" bestFit="1" customWidth="1"/>
    <col min="13315" max="13323" width="10.7109375" style="46" customWidth="1"/>
    <col min="13324" max="13568" width="9.140625" style="46"/>
    <col min="13569" max="13569" width="6" style="46" bestFit="1" customWidth="1"/>
    <col min="13570" max="13570" width="18.7109375" style="46" bestFit="1" customWidth="1"/>
    <col min="13571" max="13579" width="10.7109375" style="46" customWidth="1"/>
    <col min="13580" max="13824" width="9.140625" style="46"/>
    <col min="13825" max="13825" width="6" style="46" bestFit="1" customWidth="1"/>
    <col min="13826" max="13826" width="18.7109375" style="46" bestFit="1" customWidth="1"/>
    <col min="13827" max="13835" width="10.7109375" style="46" customWidth="1"/>
    <col min="13836" max="14080" width="9.140625" style="46"/>
    <col min="14081" max="14081" width="6" style="46" bestFit="1" customWidth="1"/>
    <col min="14082" max="14082" width="18.7109375" style="46" bestFit="1" customWidth="1"/>
    <col min="14083" max="14091" width="10.7109375" style="46" customWidth="1"/>
    <col min="14092" max="14336" width="9.140625" style="46"/>
    <col min="14337" max="14337" width="6" style="46" bestFit="1" customWidth="1"/>
    <col min="14338" max="14338" width="18.7109375" style="46" bestFit="1" customWidth="1"/>
    <col min="14339" max="14347" width="10.7109375" style="46" customWidth="1"/>
    <col min="14348" max="14592" width="9.140625" style="46"/>
    <col min="14593" max="14593" width="6" style="46" bestFit="1" customWidth="1"/>
    <col min="14594" max="14594" width="18.7109375" style="46" bestFit="1" customWidth="1"/>
    <col min="14595" max="14603" width="10.7109375" style="46" customWidth="1"/>
    <col min="14604" max="14848" width="9.140625" style="46"/>
    <col min="14849" max="14849" width="6" style="46" bestFit="1" customWidth="1"/>
    <col min="14850" max="14850" width="18.7109375" style="46" bestFit="1" customWidth="1"/>
    <col min="14851" max="14859" width="10.7109375" style="46" customWidth="1"/>
    <col min="14860" max="15104" width="9.140625" style="46"/>
    <col min="15105" max="15105" width="6" style="46" bestFit="1" customWidth="1"/>
    <col min="15106" max="15106" width="18.7109375" style="46" bestFit="1" customWidth="1"/>
    <col min="15107" max="15115" width="10.7109375" style="46" customWidth="1"/>
    <col min="15116" max="15360" width="9.140625" style="46"/>
    <col min="15361" max="15361" width="6" style="46" bestFit="1" customWidth="1"/>
    <col min="15362" max="15362" width="18.7109375" style="46" bestFit="1" customWidth="1"/>
    <col min="15363" max="15371" width="10.7109375" style="46" customWidth="1"/>
    <col min="15372" max="15616" width="9.140625" style="46"/>
    <col min="15617" max="15617" width="6" style="46" bestFit="1" customWidth="1"/>
    <col min="15618" max="15618" width="18.7109375" style="46" bestFit="1" customWidth="1"/>
    <col min="15619" max="15627" width="10.7109375" style="46" customWidth="1"/>
    <col min="15628" max="15872" width="9.140625" style="46"/>
    <col min="15873" max="15873" width="6" style="46" bestFit="1" customWidth="1"/>
    <col min="15874" max="15874" width="18.7109375" style="46" bestFit="1" customWidth="1"/>
    <col min="15875" max="15883" width="10.7109375" style="46" customWidth="1"/>
    <col min="15884" max="16128" width="9.140625" style="46"/>
    <col min="16129" max="16129" width="6" style="46" bestFit="1" customWidth="1"/>
    <col min="16130" max="16130" width="18.7109375" style="46" bestFit="1" customWidth="1"/>
    <col min="16131" max="16139" width="10.7109375" style="46" customWidth="1"/>
    <col min="16140" max="16384" width="9.140625" style="46"/>
  </cols>
  <sheetData>
    <row r="1" spans="1:19" s="18" customFormat="1" ht="12.75" customHeight="1" x14ac:dyDescent="0.25">
      <c r="A1" s="277"/>
      <c r="B1" s="278"/>
      <c r="C1" s="283" t="s">
        <v>94</v>
      </c>
      <c r="D1" s="283"/>
      <c r="E1" s="283"/>
      <c r="F1" s="283"/>
      <c r="G1" s="283"/>
      <c r="H1" s="283"/>
      <c r="I1" s="283"/>
      <c r="J1" s="283"/>
      <c r="K1" s="284"/>
    </row>
    <row r="2" spans="1:19" s="18" customFormat="1" x14ac:dyDescent="0.25">
      <c r="A2" s="279"/>
      <c r="B2" s="280"/>
      <c r="C2" s="285"/>
      <c r="D2" s="285"/>
      <c r="E2" s="285"/>
      <c r="F2" s="285"/>
      <c r="G2" s="285"/>
      <c r="H2" s="285"/>
      <c r="I2" s="285"/>
      <c r="J2" s="285"/>
      <c r="K2" s="286"/>
    </row>
    <row r="3" spans="1:19" s="18" customFormat="1" ht="30" customHeight="1" x14ac:dyDescent="0.25">
      <c r="A3" s="279"/>
      <c r="B3" s="280"/>
      <c r="C3" s="287" t="s">
        <v>95</v>
      </c>
      <c r="D3" s="287"/>
      <c r="E3" s="287"/>
      <c r="F3" s="287"/>
      <c r="G3" s="287"/>
      <c r="H3" s="287"/>
      <c r="I3" s="287"/>
      <c r="J3" s="287"/>
      <c r="K3" s="288"/>
    </row>
    <row r="4" spans="1:19" s="18" customFormat="1" ht="20.100000000000001" customHeight="1" x14ac:dyDescent="0.25">
      <c r="A4" s="279"/>
      <c r="B4" s="280"/>
      <c r="C4" s="289" t="str">
        <f>'Planilha Orçamentária'!K5</f>
        <v xml:space="preserve">OBRA/SERVIÇO: MURO DE CONTENÇÃO DA RUA MANOEL PIO </v>
      </c>
      <c r="D4" s="289"/>
      <c r="E4" s="289"/>
      <c r="F4" s="289"/>
      <c r="G4" s="289"/>
      <c r="H4" s="289"/>
      <c r="I4" s="289"/>
      <c r="J4" s="289"/>
      <c r="K4" s="290"/>
    </row>
    <row r="5" spans="1:19" s="18" customFormat="1" ht="20.100000000000001" customHeight="1" x14ac:dyDescent="0.25">
      <c r="A5" s="279"/>
      <c r="B5" s="280"/>
      <c r="C5" s="289" t="str">
        <f>'Planilha Orçamentária'!K6</f>
        <v>LOCAL: RUA MANOEL PIO - ALTO NITERÓI,  ATÍLIO VIVÁCQUA-ES</v>
      </c>
      <c r="D5" s="289"/>
      <c r="E5" s="289"/>
      <c r="F5" s="289"/>
      <c r="G5" s="289"/>
      <c r="H5" s="289"/>
      <c r="I5" s="289"/>
      <c r="J5" s="289"/>
      <c r="K5" s="290"/>
    </row>
    <row r="6" spans="1:19" s="22" customFormat="1" ht="15.75" customHeight="1" thickBot="1" x14ac:dyDescent="0.3">
      <c r="A6" s="281"/>
      <c r="B6" s="282"/>
      <c r="C6" s="291" t="s">
        <v>96</v>
      </c>
      <c r="D6" s="291"/>
      <c r="E6" s="292">
        <v>210187.6</v>
      </c>
      <c r="F6" s="292"/>
      <c r="G6" s="19"/>
      <c r="H6" s="19"/>
      <c r="I6" s="19"/>
      <c r="J6" s="20"/>
      <c r="K6" s="21"/>
    </row>
    <row r="7" spans="1:19" s="18" customFormat="1" ht="19.5" hidden="1" customHeight="1" thickBot="1" x14ac:dyDescent="0.3">
      <c r="A7" s="23"/>
      <c r="B7" s="24"/>
      <c r="C7" s="25"/>
      <c r="D7" s="25"/>
      <c r="E7" s="289"/>
      <c r="F7" s="289"/>
      <c r="G7" s="289"/>
      <c r="H7" s="289"/>
      <c r="I7" s="289"/>
      <c r="J7" s="26"/>
      <c r="K7" s="27"/>
    </row>
    <row r="8" spans="1:19" s="18" customFormat="1" ht="20.100000000000001" hidden="1" customHeight="1" thickBot="1" x14ac:dyDescent="0.25">
      <c r="A8" s="28"/>
      <c r="B8" s="29"/>
      <c r="C8" s="30"/>
      <c r="D8" s="30"/>
      <c r="E8" s="31"/>
      <c r="F8" s="32"/>
      <c r="G8" s="33"/>
      <c r="H8" s="34"/>
      <c r="I8" s="35" t="s">
        <v>97</v>
      </c>
      <c r="J8" s="36">
        <v>0.309</v>
      </c>
      <c r="K8" s="27"/>
    </row>
    <row r="9" spans="1:19" ht="15.75" customHeight="1" thickBot="1" x14ac:dyDescent="0.25">
      <c r="A9" s="37"/>
      <c r="B9" s="38"/>
      <c r="C9" s="39"/>
      <c r="D9" s="39"/>
      <c r="E9" s="40"/>
      <c r="F9" s="40"/>
      <c r="G9" s="41"/>
      <c r="H9" s="42"/>
      <c r="I9" s="43"/>
      <c r="J9" s="44"/>
      <c r="K9" s="45"/>
      <c r="S9" s="47" t="e">
        <f>'[1]P.O. Alt. C Muro'!#REF!</f>
        <v>#REF!</v>
      </c>
    </row>
    <row r="10" spans="1:19" ht="22.5" customHeight="1" thickBot="1" x14ac:dyDescent="0.25">
      <c r="A10" s="293" t="s">
        <v>0</v>
      </c>
      <c r="B10" s="295" t="s">
        <v>98</v>
      </c>
      <c r="C10" s="297" t="s">
        <v>99</v>
      </c>
      <c r="D10" s="298"/>
      <c r="E10" s="299" t="s">
        <v>161</v>
      </c>
      <c r="F10" s="300"/>
      <c r="G10" s="300"/>
      <c r="H10" s="300"/>
      <c r="I10" s="300"/>
      <c r="J10" s="300"/>
      <c r="K10" s="301"/>
    </row>
    <row r="11" spans="1:19" ht="15.75" customHeight="1" thickBot="1" x14ac:dyDescent="0.25">
      <c r="A11" s="294"/>
      <c r="B11" s="296"/>
      <c r="C11" s="48" t="s">
        <v>100</v>
      </c>
      <c r="D11" s="49" t="s">
        <v>101</v>
      </c>
      <c r="E11" s="50">
        <v>60</v>
      </c>
      <c r="F11" s="51">
        <v>100</v>
      </c>
      <c r="G11" s="51">
        <v>130</v>
      </c>
      <c r="H11" s="51">
        <v>180</v>
      </c>
      <c r="I11" s="51">
        <v>210</v>
      </c>
      <c r="J11" s="51">
        <v>240</v>
      </c>
      <c r="K11" s="52">
        <v>270</v>
      </c>
    </row>
    <row r="12" spans="1:19" ht="13.5" thickBot="1" x14ac:dyDescent="0.25">
      <c r="A12" s="275"/>
      <c r="B12" s="276"/>
      <c r="C12" s="53"/>
      <c r="D12" s="54"/>
      <c r="E12" s="53"/>
      <c r="F12" s="53"/>
      <c r="G12" s="53"/>
      <c r="H12" s="53"/>
      <c r="I12" s="53"/>
      <c r="J12" s="53"/>
      <c r="K12" s="54"/>
      <c r="N12" s="55"/>
      <c r="O12" s="55"/>
      <c r="P12" s="55"/>
      <c r="Q12" s="55"/>
    </row>
    <row r="13" spans="1:19" ht="13.5" hidden="1" thickBot="1" x14ac:dyDescent="0.3">
      <c r="A13" s="302"/>
      <c r="B13" s="304" t="str">
        <f>'Planilha Orçamentária'!C7</f>
        <v>MURO 01</v>
      </c>
      <c r="C13" s="307"/>
      <c r="D13" s="310">
        <f>C13/$E$6</f>
        <v>0</v>
      </c>
      <c r="E13" s="81"/>
      <c r="F13" s="78">
        <f t="shared" ref="F13:K13" si="0">F15*$C$13</f>
        <v>0</v>
      </c>
      <c r="G13" s="56">
        <f t="shared" si="0"/>
        <v>0</v>
      </c>
      <c r="H13" s="56">
        <f t="shared" si="0"/>
        <v>0</v>
      </c>
      <c r="I13" s="56">
        <f t="shared" si="0"/>
        <v>0</v>
      </c>
      <c r="J13" s="56">
        <f t="shared" si="0"/>
        <v>0</v>
      </c>
      <c r="K13" s="57">
        <f t="shared" si="0"/>
        <v>0</v>
      </c>
      <c r="N13" s="55"/>
      <c r="O13" s="55"/>
      <c r="P13" s="55"/>
      <c r="Q13" s="55"/>
    </row>
    <row r="14" spans="1:19" ht="13.5" hidden="1" thickBot="1" x14ac:dyDescent="0.3">
      <c r="A14" s="303"/>
      <c r="B14" s="305"/>
      <c r="C14" s="308"/>
      <c r="D14" s="311"/>
      <c r="E14" s="82"/>
      <c r="F14" s="79"/>
      <c r="G14" s="58"/>
      <c r="H14" s="58"/>
      <c r="I14" s="58"/>
      <c r="J14" s="58"/>
      <c r="K14" s="59"/>
      <c r="N14" s="55"/>
      <c r="O14" s="55">
        <v>43514</v>
      </c>
      <c r="P14" s="55"/>
      <c r="Q14" s="55"/>
    </row>
    <row r="15" spans="1:19" ht="13.5" hidden="1" thickBot="1" x14ac:dyDescent="0.3">
      <c r="A15" s="303"/>
      <c r="B15" s="306"/>
      <c r="C15" s="309"/>
      <c r="D15" s="312"/>
      <c r="E15" s="83"/>
      <c r="F15" s="77">
        <v>0.1</v>
      </c>
      <c r="G15" s="60">
        <v>0.3</v>
      </c>
      <c r="H15" s="60">
        <v>0.3</v>
      </c>
      <c r="I15" s="60">
        <v>0.2</v>
      </c>
      <c r="J15" s="60">
        <v>0.1</v>
      </c>
      <c r="K15" s="61"/>
      <c r="N15" s="55"/>
      <c r="O15" s="55">
        <f>O14+60</f>
        <v>43574</v>
      </c>
      <c r="P15" s="55"/>
      <c r="Q15" s="55"/>
    </row>
    <row r="16" spans="1:19" ht="13.5" hidden="1" thickBot="1" x14ac:dyDescent="0.3">
      <c r="A16" s="302"/>
      <c r="B16" s="304" t="str">
        <f>'Planilha Orçamentária'!C30</f>
        <v>MURO 02</v>
      </c>
      <c r="C16" s="307"/>
      <c r="D16" s="310">
        <f>C16/$E$6</f>
        <v>0</v>
      </c>
      <c r="E16" s="84"/>
      <c r="F16" s="78">
        <f t="shared" ref="F16:K16" si="1">F18*$C$16</f>
        <v>0</v>
      </c>
      <c r="G16" s="56">
        <f t="shared" si="1"/>
        <v>0</v>
      </c>
      <c r="H16" s="56">
        <f t="shared" si="1"/>
        <v>0</v>
      </c>
      <c r="I16" s="56">
        <f t="shared" si="1"/>
        <v>0</v>
      </c>
      <c r="J16" s="56">
        <f t="shared" si="1"/>
        <v>0</v>
      </c>
      <c r="K16" s="57">
        <f t="shared" si="1"/>
        <v>0</v>
      </c>
      <c r="N16" s="55"/>
      <c r="O16" s="55"/>
      <c r="P16" s="55"/>
      <c r="Q16" s="55"/>
    </row>
    <row r="17" spans="1:17" ht="13.5" hidden="1" thickBot="1" x14ac:dyDescent="0.3">
      <c r="A17" s="303"/>
      <c r="B17" s="305"/>
      <c r="C17" s="308"/>
      <c r="D17" s="311"/>
      <c r="E17" s="82"/>
      <c r="F17" s="79"/>
      <c r="G17" s="58"/>
      <c r="H17" s="58"/>
      <c r="I17" s="58"/>
      <c r="J17" s="58"/>
      <c r="K17" s="59"/>
      <c r="N17" s="55"/>
      <c r="O17" s="55"/>
      <c r="P17" s="55"/>
      <c r="Q17" s="55"/>
    </row>
    <row r="18" spans="1:17" ht="13.5" hidden="1" thickBot="1" x14ac:dyDescent="0.3">
      <c r="A18" s="303"/>
      <c r="B18" s="306"/>
      <c r="C18" s="309"/>
      <c r="D18" s="312"/>
      <c r="E18" s="83"/>
      <c r="F18" s="77">
        <v>0.1</v>
      </c>
      <c r="G18" s="60">
        <v>0.3</v>
      </c>
      <c r="H18" s="60">
        <v>0.3</v>
      </c>
      <c r="I18" s="60">
        <v>0.2</v>
      </c>
      <c r="J18" s="60">
        <v>0.1</v>
      </c>
      <c r="K18" s="61"/>
      <c r="N18" s="55"/>
      <c r="O18" s="55"/>
      <c r="P18" s="55"/>
      <c r="Q18" s="55"/>
    </row>
    <row r="19" spans="1:17" ht="13.5" hidden="1" thickBot="1" x14ac:dyDescent="0.3">
      <c r="A19" s="302"/>
      <c r="B19" s="304" t="str">
        <f>'Planilha Orçamentária'!C47</f>
        <v>MURO 03</v>
      </c>
      <c r="C19" s="307"/>
      <c r="D19" s="310">
        <f>C19/$E$6</f>
        <v>0</v>
      </c>
      <c r="E19" s="84"/>
      <c r="F19" s="78">
        <f t="shared" ref="F19:K19" si="2">F21*$C$19</f>
        <v>0</v>
      </c>
      <c r="G19" s="56">
        <f t="shared" si="2"/>
        <v>0</v>
      </c>
      <c r="H19" s="56">
        <f t="shared" si="2"/>
        <v>0</v>
      </c>
      <c r="I19" s="56">
        <f t="shared" si="2"/>
        <v>0</v>
      </c>
      <c r="J19" s="56">
        <f t="shared" si="2"/>
        <v>0</v>
      </c>
      <c r="K19" s="57">
        <f t="shared" si="2"/>
        <v>0</v>
      </c>
      <c r="N19" s="55"/>
      <c r="O19" s="55"/>
      <c r="P19" s="55"/>
      <c r="Q19" s="55"/>
    </row>
    <row r="20" spans="1:17" ht="13.5" hidden="1" thickBot="1" x14ac:dyDescent="0.3">
      <c r="A20" s="303"/>
      <c r="B20" s="305"/>
      <c r="C20" s="308"/>
      <c r="D20" s="311"/>
      <c r="E20" s="82" t="s">
        <v>104</v>
      </c>
      <c r="F20" s="79"/>
      <c r="G20" s="58"/>
      <c r="H20" s="58"/>
      <c r="I20" s="58"/>
      <c r="J20" s="58"/>
      <c r="K20" s="59"/>
      <c r="N20" s="55"/>
      <c r="O20" s="55">
        <v>43514</v>
      </c>
      <c r="P20" s="55"/>
      <c r="Q20" s="55"/>
    </row>
    <row r="21" spans="1:17" ht="13.5" hidden="1" thickBot="1" x14ac:dyDescent="0.3">
      <c r="A21" s="303"/>
      <c r="B21" s="306"/>
      <c r="C21" s="309"/>
      <c r="D21" s="312"/>
      <c r="E21" s="83"/>
      <c r="F21" s="77">
        <v>0.1</v>
      </c>
      <c r="G21" s="60">
        <v>0.3</v>
      </c>
      <c r="H21" s="60">
        <v>0.3</v>
      </c>
      <c r="I21" s="60">
        <v>0.2</v>
      </c>
      <c r="J21" s="60">
        <v>0.1</v>
      </c>
      <c r="K21" s="61"/>
      <c r="N21" s="55"/>
      <c r="O21" s="55">
        <f>O20+60</f>
        <v>43574</v>
      </c>
      <c r="P21" s="55"/>
      <c r="Q21" s="55"/>
    </row>
    <row r="22" spans="1:17" ht="13.5" hidden="1" thickBot="1" x14ac:dyDescent="0.3">
      <c r="A22" s="302"/>
      <c r="B22" s="304" t="str">
        <f>'Planilha Orçamentária'!C70</f>
        <v>MURO 04</v>
      </c>
      <c r="C22" s="307"/>
      <c r="D22" s="310">
        <f>C22/$E$6</f>
        <v>0</v>
      </c>
      <c r="E22" s="84"/>
      <c r="F22" s="78">
        <f t="shared" ref="F22:K22" si="3">F24*$C$22</f>
        <v>0</v>
      </c>
      <c r="G22" s="56">
        <f t="shared" si="3"/>
        <v>0</v>
      </c>
      <c r="H22" s="56">
        <f t="shared" si="3"/>
        <v>0</v>
      </c>
      <c r="I22" s="56">
        <f t="shared" si="3"/>
        <v>0</v>
      </c>
      <c r="J22" s="56">
        <f t="shared" si="3"/>
        <v>0</v>
      </c>
      <c r="K22" s="57">
        <f t="shared" si="3"/>
        <v>0</v>
      </c>
      <c r="N22" s="55"/>
      <c r="O22" s="55"/>
      <c r="P22" s="55"/>
      <c r="Q22" s="55"/>
    </row>
    <row r="23" spans="1:17" ht="13.5" hidden="1" thickBot="1" x14ac:dyDescent="0.3">
      <c r="A23" s="303"/>
      <c r="B23" s="305"/>
      <c r="C23" s="308"/>
      <c r="D23" s="311"/>
      <c r="E23" s="82"/>
      <c r="F23" s="79"/>
      <c r="G23" s="58"/>
      <c r="H23" s="58"/>
      <c r="I23" s="58"/>
      <c r="J23" s="58"/>
      <c r="K23" s="59"/>
      <c r="N23" s="55"/>
      <c r="O23" s="55"/>
      <c r="P23" s="55"/>
      <c r="Q23" s="55"/>
    </row>
    <row r="24" spans="1:17" ht="13.5" hidden="1" thickBot="1" x14ac:dyDescent="0.3">
      <c r="A24" s="303"/>
      <c r="B24" s="306"/>
      <c r="C24" s="309"/>
      <c r="D24" s="312"/>
      <c r="E24" s="83"/>
      <c r="F24" s="77">
        <v>0.1</v>
      </c>
      <c r="G24" s="60">
        <v>0.3</v>
      </c>
      <c r="H24" s="60">
        <v>0.3</v>
      </c>
      <c r="I24" s="60">
        <v>0.2</v>
      </c>
      <c r="J24" s="60">
        <v>0.1</v>
      </c>
      <c r="K24" s="61"/>
      <c r="N24" s="55"/>
      <c r="O24" s="55"/>
      <c r="P24" s="55"/>
      <c r="Q24" s="55"/>
    </row>
    <row r="25" spans="1:17" ht="13.5" thickBot="1" x14ac:dyDescent="0.3">
      <c r="A25" s="302"/>
      <c r="B25" s="304">
        <f>'Planilha Orçamentária'!C87</f>
        <v>0</v>
      </c>
      <c r="C25" s="307">
        <v>210187.6</v>
      </c>
      <c r="D25" s="310">
        <f>C25/$E$6</f>
        <v>1</v>
      </c>
      <c r="E25" s="84"/>
      <c r="F25" s="78">
        <f t="shared" ref="F25:K25" si="4">F27*$C$25</f>
        <v>105093.8</v>
      </c>
      <c r="G25" s="56">
        <f t="shared" si="4"/>
        <v>105093.8</v>
      </c>
      <c r="H25" s="56">
        <f t="shared" si="4"/>
        <v>63056.28</v>
      </c>
      <c r="I25" s="56">
        <f t="shared" si="4"/>
        <v>42037.520000000004</v>
      </c>
      <c r="J25" s="56">
        <f t="shared" si="4"/>
        <v>21018.760000000002</v>
      </c>
      <c r="K25" s="57">
        <f t="shared" si="4"/>
        <v>0</v>
      </c>
      <c r="N25" s="55"/>
      <c r="O25" s="55"/>
      <c r="P25" s="55"/>
      <c r="Q25" s="55"/>
    </row>
    <row r="26" spans="1:17" ht="13.5" thickBot="1" x14ac:dyDescent="0.3">
      <c r="A26" s="303"/>
      <c r="B26" s="305"/>
      <c r="C26" s="308"/>
      <c r="D26" s="311"/>
      <c r="E26" s="82" t="s">
        <v>160</v>
      </c>
      <c r="F26" s="79"/>
      <c r="G26" s="58"/>
      <c r="H26" s="58"/>
      <c r="I26" s="58"/>
      <c r="J26" s="58"/>
      <c r="K26" s="59"/>
      <c r="N26" s="55"/>
      <c r="O26" s="55"/>
      <c r="P26" s="55"/>
      <c r="Q26" s="55"/>
    </row>
    <row r="27" spans="1:17" ht="13.5" thickBot="1" x14ac:dyDescent="0.3">
      <c r="A27" s="303"/>
      <c r="B27" s="306"/>
      <c r="C27" s="309"/>
      <c r="D27" s="312"/>
      <c r="E27" s="85"/>
      <c r="F27" s="77">
        <v>0.5</v>
      </c>
      <c r="G27" s="60">
        <v>0.5</v>
      </c>
      <c r="H27" s="60">
        <v>0.3</v>
      </c>
      <c r="I27" s="60">
        <v>0.2</v>
      </c>
      <c r="J27" s="60">
        <v>0.1</v>
      </c>
      <c r="K27" s="61"/>
      <c r="N27" s="55"/>
      <c r="O27" s="55"/>
      <c r="P27" s="55"/>
      <c r="Q27" s="55"/>
    </row>
    <row r="28" spans="1:17" ht="13.5" thickBot="1" x14ac:dyDescent="0.3">
      <c r="A28" s="62"/>
      <c r="B28" s="63"/>
      <c r="C28" s="63"/>
      <c r="D28" s="63"/>
      <c r="E28" s="80"/>
      <c r="F28" s="63"/>
      <c r="G28" s="63"/>
      <c r="H28" s="63"/>
      <c r="I28" s="63"/>
      <c r="J28" s="63"/>
      <c r="K28" s="64"/>
      <c r="N28" s="55"/>
      <c r="O28" s="55"/>
      <c r="P28" s="55"/>
      <c r="Q28" s="55"/>
    </row>
    <row r="29" spans="1:17" x14ac:dyDescent="0.2">
      <c r="A29" s="313" t="s">
        <v>102</v>
      </c>
      <c r="B29" s="314"/>
      <c r="C29" s="65">
        <f>SUM(C13:C27)</f>
        <v>210187.6</v>
      </c>
      <c r="D29" s="66">
        <f>SUM(D13:D27)</f>
        <v>1</v>
      </c>
      <c r="E29" s="67">
        <f>E13+E16</f>
        <v>0</v>
      </c>
      <c r="F29" s="67">
        <f>F13+F16+F19+F22+F25</f>
        <v>105093.8</v>
      </c>
      <c r="G29" s="67">
        <f t="shared" ref="G29:K29" si="5">G13+G16+G19+G22+G25</f>
        <v>105093.8</v>
      </c>
      <c r="H29" s="67">
        <f t="shared" si="5"/>
        <v>63056.28</v>
      </c>
      <c r="I29" s="67">
        <f t="shared" si="5"/>
        <v>42037.520000000004</v>
      </c>
      <c r="J29" s="67">
        <f t="shared" si="5"/>
        <v>21018.760000000002</v>
      </c>
      <c r="K29" s="67">
        <f t="shared" si="5"/>
        <v>0</v>
      </c>
      <c r="N29" s="55"/>
      <c r="O29" s="55"/>
      <c r="P29" s="55"/>
      <c r="Q29" s="55"/>
    </row>
    <row r="30" spans="1:17" ht="13.5" thickBot="1" x14ac:dyDescent="0.25">
      <c r="A30" s="315" t="s">
        <v>103</v>
      </c>
      <c r="B30" s="316"/>
      <c r="C30" s="68"/>
      <c r="D30" s="69"/>
      <c r="E30" s="70">
        <f>E29</f>
        <v>0</v>
      </c>
      <c r="F30" s="70">
        <f t="shared" ref="F30:K30" si="6">E30+F29</f>
        <v>105093.8</v>
      </c>
      <c r="G30" s="70">
        <f t="shared" si="6"/>
        <v>210187.6</v>
      </c>
      <c r="H30" s="70">
        <f t="shared" si="6"/>
        <v>273243.88</v>
      </c>
      <c r="I30" s="70">
        <f t="shared" si="6"/>
        <v>315281.40000000002</v>
      </c>
      <c r="J30" s="70">
        <f t="shared" si="6"/>
        <v>336300.16000000003</v>
      </c>
      <c r="K30" s="70">
        <f t="shared" si="6"/>
        <v>336300.16000000003</v>
      </c>
      <c r="N30" s="55"/>
      <c r="O30" s="55"/>
      <c r="P30" s="55"/>
      <c r="Q30" s="55"/>
    </row>
    <row r="31" spans="1:17" x14ac:dyDescent="0.25">
      <c r="A31" s="317">
        <f>'Planilha Orçamentária'!A104:C104</f>
        <v>43551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9"/>
    </row>
    <row r="32" spans="1:17" ht="41.25" customHeight="1" x14ac:dyDescent="0.2">
      <c r="A32" s="272" t="s">
        <v>20</v>
      </c>
      <c r="B32" s="243"/>
      <c r="C32" s="243"/>
      <c r="D32" s="243"/>
      <c r="E32" s="243"/>
      <c r="F32" s="243" t="s">
        <v>19</v>
      </c>
      <c r="G32" s="243"/>
      <c r="H32" s="243"/>
      <c r="I32" s="243"/>
      <c r="J32" s="243"/>
      <c r="K32" s="244"/>
    </row>
    <row r="33" spans="1:11" ht="15" customHeight="1" x14ac:dyDescent="0.2">
      <c r="A33" s="272" t="s">
        <v>154</v>
      </c>
      <c r="B33" s="273"/>
      <c r="C33" s="273"/>
      <c r="D33" s="273"/>
      <c r="E33" s="273"/>
      <c r="F33" s="243" t="s">
        <v>77</v>
      </c>
      <c r="G33" s="243"/>
      <c r="H33" s="243"/>
      <c r="I33" s="243"/>
      <c r="J33" s="243"/>
      <c r="K33" s="244"/>
    </row>
    <row r="34" spans="1:11" ht="15.75" customHeight="1" thickBot="1" x14ac:dyDescent="0.3">
      <c r="A34" s="274" t="s">
        <v>21</v>
      </c>
      <c r="B34" s="245"/>
      <c r="C34" s="245"/>
      <c r="D34" s="245"/>
      <c r="E34" s="245"/>
      <c r="F34" s="245" t="s">
        <v>14</v>
      </c>
      <c r="G34" s="245"/>
      <c r="H34" s="245"/>
      <c r="I34" s="245"/>
      <c r="J34" s="245"/>
      <c r="K34" s="246"/>
    </row>
  </sheetData>
  <dataConsolidate/>
  <mergeCells count="42">
    <mergeCell ref="A19:A21"/>
    <mergeCell ref="B19:B21"/>
    <mergeCell ref="C19:C21"/>
    <mergeCell ref="D19:D21"/>
    <mergeCell ref="A22:A24"/>
    <mergeCell ref="B22:B24"/>
    <mergeCell ref="C22:C24"/>
    <mergeCell ref="D22:D24"/>
    <mergeCell ref="A29:B29"/>
    <mergeCell ref="A30:B30"/>
    <mergeCell ref="A31:K31"/>
    <mergeCell ref="A25:A27"/>
    <mergeCell ref="B25:B27"/>
    <mergeCell ref="C25:C27"/>
    <mergeCell ref="D25:D27"/>
    <mergeCell ref="A13:A15"/>
    <mergeCell ref="B13:B15"/>
    <mergeCell ref="C13:C15"/>
    <mergeCell ref="D13:D15"/>
    <mergeCell ref="A16:A18"/>
    <mergeCell ref="B16:B18"/>
    <mergeCell ref="C16:C18"/>
    <mergeCell ref="D16:D18"/>
    <mergeCell ref="A12:B12"/>
    <mergeCell ref="A1:B6"/>
    <mergeCell ref="C1:K2"/>
    <mergeCell ref="C3:K3"/>
    <mergeCell ref="C4:K4"/>
    <mergeCell ref="C5:K5"/>
    <mergeCell ref="C6:D6"/>
    <mergeCell ref="E6:F6"/>
    <mergeCell ref="E7:I7"/>
    <mergeCell ref="A10:A11"/>
    <mergeCell ref="B10:B11"/>
    <mergeCell ref="C10:D10"/>
    <mergeCell ref="E10:K10"/>
    <mergeCell ref="A32:E32"/>
    <mergeCell ref="F32:K32"/>
    <mergeCell ref="F33:K33"/>
    <mergeCell ref="F34:K34"/>
    <mergeCell ref="A33:E33"/>
    <mergeCell ref="A34:E34"/>
  </mergeCells>
  <printOptions horizontalCentered="1"/>
  <pageMargins left="0.25" right="0.25" top="0.75" bottom="0.75" header="0.3" footer="0.3"/>
  <pageSetup paperSize="9" orientation="landscape" r:id="rId1"/>
  <headerFooter alignWithMargins="0">
    <oddFooter>&amp;C&amp;F&amp;R&amp;P/&amp;N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pageSetUpPr fitToPage="1"/>
  </sheetPr>
  <dimension ref="A1:S21"/>
  <sheetViews>
    <sheetView view="pageBreakPreview" zoomScale="90" zoomScaleNormal="100" zoomScaleSheetLayoutView="90" workbookViewId="0">
      <selection activeCell="G25" sqref="G25"/>
    </sheetView>
  </sheetViews>
  <sheetFormatPr defaultRowHeight="12.75" x14ac:dyDescent="0.25"/>
  <cols>
    <col min="1" max="1" width="6" style="71" bestFit="1" customWidth="1"/>
    <col min="2" max="2" width="18.42578125" style="72" customWidth="1"/>
    <col min="3" max="3" width="13.5703125" style="71" customWidth="1"/>
    <col min="4" max="4" width="10.7109375" style="71" customWidth="1"/>
    <col min="5" max="5" width="16.7109375" style="73" customWidth="1"/>
    <col min="6" max="6" width="15.42578125" style="71" customWidth="1"/>
    <col min="7" max="7" width="13.5703125" style="74" customWidth="1"/>
    <col min="8" max="8" width="17.85546875" style="75" customWidth="1"/>
    <col min="9" max="9" width="10.7109375" style="75" hidden="1" customWidth="1"/>
    <col min="10" max="10" width="10.7109375" style="76" hidden="1" customWidth="1"/>
    <col min="11" max="11" width="10.7109375" style="46" hidden="1" customWidth="1"/>
    <col min="12" max="14" width="9.140625" style="46"/>
    <col min="15" max="15" width="10.140625" style="46" bestFit="1" customWidth="1"/>
    <col min="16" max="256" width="9.140625" style="46"/>
    <col min="257" max="257" width="6" style="46" bestFit="1" customWidth="1"/>
    <col min="258" max="258" width="18.7109375" style="46" bestFit="1" customWidth="1"/>
    <col min="259" max="267" width="10.7109375" style="46" customWidth="1"/>
    <col min="268" max="512" width="9.140625" style="46"/>
    <col min="513" max="513" width="6" style="46" bestFit="1" customWidth="1"/>
    <col min="514" max="514" width="18.7109375" style="46" bestFit="1" customWidth="1"/>
    <col min="515" max="523" width="10.7109375" style="46" customWidth="1"/>
    <col min="524" max="768" width="9.140625" style="46"/>
    <col min="769" max="769" width="6" style="46" bestFit="1" customWidth="1"/>
    <col min="770" max="770" width="18.7109375" style="46" bestFit="1" customWidth="1"/>
    <col min="771" max="779" width="10.7109375" style="46" customWidth="1"/>
    <col min="780" max="1024" width="9.140625" style="46"/>
    <col min="1025" max="1025" width="6" style="46" bestFit="1" customWidth="1"/>
    <col min="1026" max="1026" width="18.7109375" style="46" bestFit="1" customWidth="1"/>
    <col min="1027" max="1035" width="10.7109375" style="46" customWidth="1"/>
    <col min="1036" max="1280" width="9.140625" style="46"/>
    <col min="1281" max="1281" width="6" style="46" bestFit="1" customWidth="1"/>
    <col min="1282" max="1282" width="18.7109375" style="46" bestFit="1" customWidth="1"/>
    <col min="1283" max="1291" width="10.7109375" style="46" customWidth="1"/>
    <col min="1292" max="1536" width="9.140625" style="46"/>
    <col min="1537" max="1537" width="6" style="46" bestFit="1" customWidth="1"/>
    <col min="1538" max="1538" width="18.7109375" style="46" bestFit="1" customWidth="1"/>
    <col min="1539" max="1547" width="10.7109375" style="46" customWidth="1"/>
    <col min="1548" max="1792" width="9.140625" style="46"/>
    <col min="1793" max="1793" width="6" style="46" bestFit="1" customWidth="1"/>
    <col min="1794" max="1794" width="18.7109375" style="46" bestFit="1" customWidth="1"/>
    <col min="1795" max="1803" width="10.7109375" style="46" customWidth="1"/>
    <col min="1804" max="2048" width="9.140625" style="46"/>
    <col min="2049" max="2049" width="6" style="46" bestFit="1" customWidth="1"/>
    <col min="2050" max="2050" width="18.7109375" style="46" bestFit="1" customWidth="1"/>
    <col min="2051" max="2059" width="10.7109375" style="46" customWidth="1"/>
    <col min="2060" max="2304" width="9.140625" style="46"/>
    <col min="2305" max="2305" width="6" style="46" bestFit="1" customWidth="1"/>
    <col min="2306" max="2306" width="18.7109375" style="46" bestFit="1" customWidth="1"/>
    <col min="2307" max="2315" width="10.7109375" style="46" customWidth="1"/>
    <col min="2316" max="2560" width="9.140625" style="46"/>
    <col min="2561" max="2561" width="6" style="46" bestFit="1" customWidth="1"/>
    <col min="2562" max="2562" width="18.7109375" style="46" bestFit="1" customWidth="1"/>
    <col min="2563" max="2571" width="10.7109375" style="46" customWidth="1"/>
    <col min="2572" max="2816" width="9.140625" style="46"/>
    <col min="2817" max="2817" width="6" style="46" bestFit="1" customWidth="1"/>
    <col min="2818" max="2818" width="18.7109375" style="46" bestFit="1" customWidth="1"/>
    <col min="2819" max="2827" width="10.7109375" style="46" customWidth="1"/>
    <col min="2828" max="3072" width="9.140625" style="46"/>
    <col min="3073" max="3073" width="6" style="46" bestFit="1" customWidth="1"/>
    <col min="3074" max="3074" width="18.7109375" style="46" bestFit="1" customWidth="1"/>
    <col min="3075" max="3083" width="10.7109375" style="46" customWidth="1"/>
    <col min="3084" max="3328" width="9.140625" style="46"/>
    <col min="3329" max="3329" width="6" style="46" bestFit="1" customWidth="1"/>
    <col min="3330" max="3330" width="18.7109375" style="46" bestFit="1" customWidth="1"/>
    <col min="3331" max="3339" width="10.7109375" style="46" customWidth="1"/>
    <col min="3340" max="3584" width="9.140625" style="46"/>
    <col min="3585" max="3585" width="6" style="46" bestFit="1" customWidth="1"/>
    <col min="3586" max="3586" width="18.7109375" style="46" bestFit="1" customWidth="1"/>
    <col min="3587" max="3595" width="10.7109375" style="46" customWidth="1"/>
    <col min="3596" max="3840" width="9.140625" style="46"/>
    <col min="3841" max="3841" width="6" style="46" bestFit="1" customWidth="1"/>
    <col min="3842" max="3842" width="18.7109375" style="46" bestFit="1" customWidth="1"/>
    <col min="3843" max="3851" width="10.7109375" style="46" customWidth="1"/>
    <col min="3852" max="4096" width="9.140625" style="46"/>
    <col min="4097" max="4097" width="6" style="46" bestFit="1" customWidth="1"/>
    <col min="4098" max="4098" width="18.7109375" style="46" bestFit="1" customWidth="1"/>
    <col min="4099" max="4107" width="10.7109375" style="46" customWidth="1"/>
    <col min="4108" max="4352" width="9.140625" style="46"/>
    <col min="4353" max="4353" width="6" style="46" bestFit="1" customWidth="1"/>
    <col min="4354" max="4354" width="18.7109375" style="46" bestFit="1" customWidth="1"/>
    <col min="4355" max="4363" width="10.7109375" style="46" customWidth="1"/>
    <col min="4364" max="4608" width="9.140625" style="46"/>
    <col min="4609" max="4609" width="6" style="46" bestFit="1" customWidth="1"/>
    <col min="4610" max="4610" width="18.7109375" style="46" bestFit="1" customWidth="1"/>
    <col min="4611" max="4619" width="10.7109375" style="46" customWidth="1"/>
    <col min="4620" max="4864" width="9.140625" style="46"/>
    <col min="4865" max="4865" width="6" style="46" bestFit="1" customWidth="1"/>
    <col min="4866" max="4866" width="18.7109375" style="46" bestFit="1" customWidth="1"/>
    <col min="4867" max="4875" width="10.7109375" style="46" customWidth="1"/>
    <col min="4876" max="5120" width="9.140625" style="46"/>
    <col min="5121" max="5121" width="6" style="46" bestFit="1" customWidth="1"/>
    <col min="5122" max="5122" width="18.7109375" style="46" bestFit="1" customWidth="1"/>
    <col min="5123" max="5131" width="10.7109375" style="46" customWidth="1"/>
    <col min="5132" max="5376" width="9.140625" style="46"/>
    <col min="5377" max="5377" width="6" style="46" bestFit="1" customWidth="1"/>
    <col min="5378" max="5378" width="18.7109375" style="46" bestFit="1" customWidth="1"/>
    <col min="5379" max="5387" width="10.7109375" style="46" customWidth="1"/>
    <col min="5388" max="5632" width="9.140625" style="46"/>
    <col min="5633" max="5633" width="6" style="46" bestFit="1" customWidth="1"/>
    <col min="5634" max="5634" width="18.7109375" style="46" bestFit="1" customWidth="1"/>
    <col min="5635" max="5643" width="10.7109375" style="46" customWidth="1"/>
    <col min="5644" max="5888" width="9.140625" style="46"/>
    <col min="5889" max="5889" width="6" style="46" bestFit="1" customWidth="1"/>
    <col min="5890" max="5890" width="18.7109375" style="46" bestFit="1" customWidth="1"/>
    <col min="5891" max="5899" width="10.7109375" style="46" customWidth="1"/>
    <col min="5900" max="6144" width="9.140625" style="46"/>
    <col min="6145" max="6145" width="6" style="46" bestFit="1" customWidth="1"/>
    <col min="6146" max="6146" width="18.7109375" style="46" bestFit="1" customWidth="1"/>
    <col min="6147" max="6155" width="10.7109375" style="46" customWidth="1"/>
    <col min="6156" max="6400" width="9.140625" style="46"/>
    <col min="6401" max="6401" width="6" style="46" bestFit="1" customWidth="1"/>
    <col min="6402" max="6402" width="18.7109375" style="46" bestFit="1" customWidth="1"/>
    <col min="6403" max="6411" width="10.7109375" style="46" customWidth="1"/>
    <col min="6412" max="6656" width="9.140625" style="46"/>
    <col min="6657" max="6657" width="6" style="46" bestFit="1" customWidth="1"/>
    <col min="6658" max="6658" width="18.7109375" style="46" bestFit="1" customWidth="1"/>
    <col min="6659" max="6667" width="10.7109375" style="46" customWidth="1"/>
    <col min="6668" max="6912" width="9.140625" style="46"/>
    <col min="6913" max="6913" width="6" style="46" bestFit="1" customWidth="1"/>
    <col min="6914" max="6914" width="18.7109375" style="46" bestFit="1" customWidth="1"/>
    <col min="6915" max="6923" width="10.7109375" style="46" customWidth="1"/>
    <col min="6924" max="7168" width="9.140625" style="46"/>
    <col min="7169" max="7169" width="6" style="46" bestFit="1" customWidth="1"/>
    <col min="7170" max="7170" width="18.7109375" style="46" bestFit="1" customWidth="1"/>
    <col min="7171" max="7179" width="10.7109375" style="46" customWidth="1"/>
    <col min="7180" max="7424" width="9.140625" style="46"/>
    <col min="7425" max="7425" width="6" style="46" bestFit="1" customWidth="1"/>
    <col min="7426" max="7426" width="18.7109375" style="46" bestFit="1" customWidth="1"/>
    <col min="7427" max="7435" width="10.7109375" style="46" customWidth="1"/>
    <col min="7436" max="7680" width="9.140625" style="46"/>
    <col min="7681" max="7681" width="6" style="46" bestFit="1" customWidth="1"/>
    <col min="7682" max="7682" width="18.7109375" style="46" bestFit="1" customWidth="1"/>
    <col min="7683" max="7691" width="10.7109375" style="46" customWidth="1"/>
    <col min="7692" max="7936" width="9.140625" style="46"/>
    <col min="7937" max="7937" width="6" style="46" bestFit="1" customWidth="1"/>
    <col min="7938" max="7938" width="18.7109375" style="46" bestFit="1" customWidth="1"/>
    <col min="7939" max="7947" width="10.7109375" style="46" customWidth="1"/>
    <col min="7948" max="8192" width="9.140625" style="46"/>
    <col min="8193" max="8193" width="6" style="46" bestFit="1" customWidth="1"/>
    <col min="8194" max="8194" width="18.7109375" style="46" bestFit="1" customWidth="1"/>
    <col min="8195" max="8203" width="10.7109375" style="46" customWidth="1"/>
    <col min="8204" max="8448" width="9.140625" style="46"/>
    <col min="8449" max="8449" width="6" style="46" bestFit="1" customWidth="1"/>
    <col min="8450" max="8450" width="18.7109375" style="46" bestFit="1" customWidth="1"/>
    <col min="8451" max="8459" width="10.7109375" style="46" customWidth="1"/>
    <col min="8460" max="8704" width="9.140625" style="46"/>
    <col min="8705" max="8705" width="6" style="46" bestFit="1" customWidth="1"/>
    <col min="8706" max="8706" width="18.7109375" style="46" bestFit="1" customWidth="1"/>
    <col min="8707" max="8715" width="10.7109375" style="46" customWidth="1"/>
    <col min="8716" max="8960" width="9.140625" style="46"/>
    <col min="8961" max="8961" width="6" style="46" bestFit="1" customWidth="1"/>
    <col min="8962" max="8962" width="18.7109375" style="46" bestFit="1" customWidth="1"/>
    <col min="8963" max="8971" width="10.7109375" style="46" customWidth="1"/>
    <col min="8972" max="9216" width="9.140625" style="46"/>
    <col min="9217" max="9217" width="6" style="46" bestFit="1" customWidth="1"/>
    <col min="9218" max="9218" width="18.7109375" style="46" bestFit="1" customWidth="1"/>
    <col min="9219" max="9227" width="10.7109375" style="46" customWidth="1"/>
    <col min="9228" max="9472" width="9.140625" style="46"/>
    <col min="9473" max="9473" width="6" style="46" bestFit="1" customWidth="1"/>
    <col min="9474" max="9474" width="18.7109375" style="46" bestFit="1" customWidth="1"/>
    <col min="9475" max="9483" width="10.7109375" style="46" customWidth="1"/>
    <col min="9484" max="9728" width="9.140625" style="46"/>
    <col min="9729" max="9729" width="6" style="46" bestFit="1" customWidth="1"/>
    <col min="9730" max="9730" width="18.7109375" style="46" bestFit="1" customWidth="1"/>
    <col min="9731" max="9739" width="10.7109375" style="46" customWidth="1"/>
    <col min="9740" max="9984" width="9.140625" style="46"/>
    <col min="9985" max="9985" width="6" style="46" bestFit="1" customWidth="1"/>
    <col min="9986" max="9986" width="18.7109375" style="46" bestFit="1" customWidth="1"/>
    <col min="9987" max="9995" width="10.7109375" style="46" customWidth="1"/>
    <col min="9996" max="10240" width="9.140625" style="46"/>
    <col min="10241" max="10241" width="6" style="46" bestFit="1" customWidth="1"/>
    <col min="10242" max="10242" width="18.7109375" style="46" bestFit="1" customWidth="1"/>
    <col min="10243" max="10251" width="10.7109375" style="46" customWidth="1"/>
    <col min="10252" max="10496" width="9.140625" style="46"/>
    <col min="10497" max="10497" width="6" style="46" bestFit="1" customWidth="1"/>
    <col min="10498" max="10498" width="18.7109375" style="46" bestFit="1" customWidth="1"/>
    <col min="10499" max="10507" width="10.7109375" style="46" customWidth="1"/>
    <col min="10508" max="10752" width="9.140625" style="46"/>
    <col min="10753" max="10753" width="6" style="46" bestFit="1" customWidth="1"/>
    <col min="10754" max="10754" width="18.7109375" style="46" bestFit="1" customWidth="1"/>
    <col min="10755" max="10763" width="10.7109375" style="46" customWidth="1"/>
    <col min="10764" max="11008" width="9.140625" style="46"/>
    <col min="11009" max="11009" width="6" style="46" bestFit="1" customWidth="1"/>
    <col min="11010" max="11010" width="18.7109375" style="46" bestFit="1" customWidth="1"/>
    <col min="11011" max="11019" width="10.7109375" style="46" customWidth="1"/>
    <col min="11020" max="11264" width="9.140625" style="46"/>
    <col min="11265" max="11265" width="6" style="46" bestFit="1" customWidth="1"/>
    <col min="11266" max="11266" width="18.7109375" style="46" bestFit="1" customWidth="1"/>
    <col min="11267" max="11275" width="10.7109375" style="46" customWidth="1"/>
    <col min="11276" max="11520" width="9.140625" style="46"/>
    <col min="11521" max="11521" width="6" style="46" bestFit="1" customWidth="1"/>
    <col min="11522" max="11522" width="18.7109375" style="46" bestFit="1" customWidth="1"/>
    <col min="11523" max="11531" width="10.7109375" style="46" customWidth="1"/>
    <col min="11532" max="11776" width="9.140625" style="46"/>
    <col min="11777" max="11777" width="6" style="46" bestFit="1" customWidth="1"/>
    <col min="11778" max="11778" width="18.7109375" style="46" bestFit="1" customWidth="1"/>
    <col min="11779" max="11787" width="10.7109375" style="46" customWidth="1"/>
    <col min="11788" max="12032" width="9.140625" style="46"/>
    <col min="12033" max="12033" width="6" style="46" bestFit="1" customWidth="1"/>
    <col min="12034" max="12034" width="18.7109375" style="46" bestFit="1" customWidth="1"/>
    <col min="12035" max="12043" width="10.7109375" style="46" customWidth="1"/>
    <col min="12044" max="12288" width="9.140625" style="46"/>
    <col min="12289" max="12289" width="6" style="46" bestFit="1" customWidth="1"/>
    <col min="12290" max="12290" width="18.7109375" style="46" bestFit="1" customWidth="1"/>
    <col min="12291" max="12299" width="10.7109375" style="46" customWidth="1"/>
    <col min="12300" max="12544" width="9.140625" style="46"/>
    <col min="12545" max="12545" width="6" style="46" bestFit="1" customWidth="1"/>
    <col min="12546" max="12546" width="18.7109375" style="46" bestFit="1" customWidth="1"/>
    <col min="12547" max="12555" width="10.7109375" style="46" customWidth="1"/>
    <col min="12556" max="12800" width="9.140625" style="46"/>
    <col min="12801" max="12801" width="6" style="46" bestFit="1" customWidth="1"/>
    <col min="12802" max="12802" width="18.7109375" style="46" bestFit="1" customWidth="1"/>
    <col min="12803" max="12811" width="10.7109375" style="46" customWidth="1"/>
    <col min="12812" max="13056" width="9.140625" style="46"/>
    <col min="13057" max="13057" width="6" style="46" bestFit="1" customWidth="1"/>
    <col min="13058" max="13058" width="18.7109375" style="46" bestFit="1" customWidth="1"/>
    <col min="13059" max="13067" width="10.7109375" style="46" customWidth="1"/>
    <col min="13068" max="13312" width="9.140625" style="46"/>
    <col min="13313" max="13313" width="6" style="46" bestFit="1" customWidth="1"/>
    <col min="13314" max="13314" width="18.7109375" style="46" bestFit="1" customWidth="1"/>
    <col min="13315" max="13323" width="10.7109375" style="46" customWidth="1"/>
    <col min="13324" max="13568" width="9.140625" style="46"/>
    <col min="13569" max="13569" width="6" style="46" bestFit="1" customWidth="1"/>
    <col min="13570" max="13570" width="18.7109375" style="46" bestFit="1" customWidth="1"/>
    <col min="13571" max="13579" width="10.7109375" style="46" customWidth="1"/>
    <col min="13580" max="13824" width="9.140625" style="46"/>
    <col min="13825" max="13825" width="6" style="46" bestFit="1" customWidth="1"/>
    <col min="13826" max="13826" width="18.7109375" style="46" bestFit="1" customWidth="1"/>
    <col min="13827" max="13835" width="10.7109375" style="46" customWidth="1"/>
    <col min="13836" max="14080" width="9.140625" style="46"/>
    <col min="14081" max="14081" width="6" style="46" bestFit="1" customWidth="1"/>
    <col min="14082" max="14082" width="18.7109375" style="46" bestFit="1" customWidth="1"/>
    <col min="14083" max="14091" width="10.7109375" style="46" customWidth="1"/>
    <col min="14092" max="14336" width="9.140625" style="46"/>
    <col min="14337" max="14337" width="6" style="46" bestFit="1" customWidth="1"/>
    <col min="14338" max="14338" width="18.7109375" style="46" bestFit="1" customWidth="1"/>
    <col min="14339" max="14347" width="10.7109375" style="46" customWidth="1"/>
    <col min="14348" max="14592" width="9.140625" style="46"/>
    <col min="14593" max="14593" width="6" style="46" bestFit="1" customWidth="1"/>
    <col min="14594" max="14594" width="18.7109375" style="46" bestFit="1" customWidth="1"/>
    <col min="14595" max="14603" width="10.7109375" style="46" customWidth="1"/>
    <col min="14604" max="14848" width="9.140625" style="46"/>
    <col min="14849" max="14849" width="6" style="46" bestFit="1" customWidth="1"/>
    <col min="14850" max="14850" width="18.7109375" style="46" bestFit="1" customWidth="1"/>
    <col min="14851" max="14859" width="10.7109375" style="46" customWidth="1"/>
    <col min="14860" max="15104" width="9.140625" style="46"/>
    <col min="15105" max="15105" width="6" style="46" bestFit="1" customWidth="1"/>
    <col min="15106" max="15106" width="18.7109375" style="46" bestFit="1" customWidth="1"/>
    <col min="15107" max="15115" width="10.7109375" style="46" customWidth="1"/>
    <col min="15116" max="15360" width="9.140625" style="46"/>
    <col min="15361" max="15361" width="6" style="46" bestFit="1" customWidth="1"/>
    <col min="15362" max="15362" width="18.7109375" style="46" bestFit="1" customWidth="1"/>
    <col min="15363" max="15371" width="10.7109375" style="46" customWidth="1"/>
    <col min="15372" max="15616" width="9.140625" style="46"/>
    <col min="15617" max="15617" width="6" style="46" bestFit="1" customWidth="1"/>
    <col min="15618" max="15618" width="18.7109375" style="46" bestFit="1" customWidth="1"/>
    <col min="15619" max="15627" width="10.7109375" style="46" customWidth="1"/>
    <col min="15628" max="15872" width="9.140625" style="46"/>
    <col min="15873" max="15873" width="6" style="46" bestFit="1" customWidth="1"/>
    <col min="15874" max="15874" width="18.7109375" style="46" bestFit="1" customWidth="1"/>
    <col min="15875" max="15883" width="10.7109375" style="46" customWidth="1"/>
    <col min="15884" max="16128" width="9.140625" style="46"/>
    <col min="16129" max="16129" width="6" style="46" bestFit="1" customWidth="1"/>
    <col min="16130" max="16130" width="18.7109375" style="46" bestFit="1" customWidth="1"/>
    <col min="16131" max="16139" width="10.7109375" style="46" customWidth="1"/>
    <col min="16140" max="16384" width="9.140625" style="46"/>
  </cols>
  <sheetData>
    <row r="1" spans="1:19" s="18" customFormat="1" ht="12.75" customHeight="1" x14ac:dyDescent="0.25">
      <c r="A1" s="277"/>
      <c r="B1" s="278"/>
      <c r="C1" s="283" t="s">
        <v>94</v>
      </c>
      <c r="D1" s="283"/>
      <c r="E1" s="283"/>
      <c r="F1" s="283"/>
      <c r="G1" s="283"/>
      <c r="H1" s="283"/>
      <c r="I1" s="283"/>
      <c r="J1" s="283"/>
      <c r="K1" s="284"/>
    </row>
    <row r="2" spans="1:19" s="18" customFormat="1" x14ac:dyDescent="0.25">
      <c r="A2" s="279"/>
      <c r="B2" s="280"/>
      <c r="C2" s="285"/>
      <c r="D2" s="285"/>
      <c r="E2" s="285"/>
      <c r="F2" s="285"/>
      <c r="G2" s="285"/>
      <c r="H2" s="285"/>
      <c r="I2" s="285"/>
      <c r="J2" s="285"/>
      <c r="K2" s="286"/>
    </row>
    <row r="3" spans="1:19" s="18" customFormat="1" ht="30" customHeight="1" x14ac:dyDescent="0.25">
      <c r="A3" s="279"/>
      <c r="B3" s="280"/>
      <c r="C3" s="287" t="s">
        <v>105</v>
      </c>
      <c r="D3" s="287"/>
      <c r="E3" s="287"/>
      <c r="F3" s="287"/>
      <c r="G3" s="287"/>
      <c r="H3" s="287"/>
      <c r="I3" s="287"/>
      <c r="J3" s="287"/>
      <c r="K3" s="288"/>
    </row>
    <row r="4" spans="1:19" s="18" customFormat="1" ht="20.100000000000001" customHeight="1" x14ac:dyDescent="0.25">
      <c r="A4" s="279"/>
      <c r="B4" s="280"/>
      <c r="C4" s="289" t="str">
        <f>'Planilha Orçamentária'!K5</f>
        <v xml:space="preserve">OBRA/SERVIÇO: MURO DE CONTENÇÃO DA RUA MANOEL PIO </v>
      </c>
      <c r="D4" s="289"/>
      <c r="E4" s="289"/>
      <c r="F4" s="289"/>
      <c r="G4" s="289"/>
      <c r="H4" s="289"/>
      <c r="I4" s="289"/>
      <c r="J4" s="289"/>
      <c r="K4" s="290"/>
    </row>
    <row r="5" spans="1:19" s="18" customFormat="1" ht="20.100000000000001" customHeight="1" x14ac:dyDescent="0.25">
      <c r="A5" s="279"/>
      <c r="B5" s="280"/>
      <c r="C5" s="289" t="str">
        <f>'Planilha Orçamentária'!K6</f>
        <v>LOCAL: RUA MANOEL PIO - ALTO NITERÓI,  ATÍLIO VIVÁCQUA-ES</v>
      </c>
      <c r="D5" s="289"/>
      <c r="E5" s="289"/>
      <c r="F5" s="289"/>
      <c r="G5" s="289"/>
      <c r="H5" s="289"/>
      <c r="I5" s="289"/>
      <c r="J5" s="289"/>
      <c r="K5" s="290"/>
    </row>
    <row r="6" spans="1:19" s="22" customFormat="1" ht="15.75" customHeight="1" thickBot="1" x14ac:dyDescent="0.3">
      <c r="A6" s="281"/>
      <c r="B6" s="282"/>
      <c r="C6" s="291" t="s">
        <v>96</v>
      </c>
      <c r="D6" s="291"/>
      <c r="E6" s="292">
        <f>'Planilha Orçamentária'!J107</f>
        <v>172969.14</v>
      </c>
      <c r="F6" s="292"/>
      <c r="G6" s="19"/>
      <c r="H6" s="19"/>
      <c r="I6" s="19"/>
      <c r="J6" s="20"/>
      <c r="K6" s="21"/>
    </row>
    <row r="7" spans="1:19" s="18" customFormat="1" ht="19.5" hidden="1" customHeight="1" thickBot="1" x14ac:dyDescent="0.3">
      <c r="A7" s="23"/>
      <c r="B7" s="24"/>
      <c r="C7" s="25"/>
      <c r="D7" s="25"/>
      <c r="E7" s="289"/>
      <c r="F7" s="289"/>
      <c r="G7" s="289"/>
      <c r="H7" s="289"/>
      <c r="I7" s="289"/>
      <c r="J7" s="26"/>
      <c r="K7" s="27"/>
    </row>
    <row r="8" spans="1:19" s="18" customFormat="1" ht="20.100000000000001" hidden="1" customHeight="1" thickBot="1" x14ac:dyDescent="0.25">
      <c r="A8" s="28"/>
      <c r="B8" s="29"/>
      <c r="C8" s="30"/>
      <c r="D8" s="30"/>
      <c r="E8" s="31"/>
      <c r="F8" s="32"/>
      <c r="G8" s="33"/>
      <c r="H8" s="34"/>
      <c r="I8" s="35" t="s">
        <v>97</v>
      </c>
      <c r="J8" s="36">
        <v>0.309</v>
      </c>
      <c r="K8" s="27"/>
    </row>
    <row r="9" spans="1:19" ht="15.75" customHeight="1" thickBot="1" x14ac:dyDescent="0.25">
      <c r="A9" s="37"/>
      <c r="B9" s="38"/>
      <c r="C9" s="39"/>
      <c r="D9" s="39"/>
      <c r="E9" s="40"/>
      <c r="F9" s="40"/>
      <c r="G9" s="41"/>
      <c r="H9" s="42"/>
      <c r="I9" s="43"/>
      <c r="J9" s="44"/>
      <c r="K9" s="45"/>
      <c r="S9" s="47" t="e">
        <f>'[1]P.O. Alt. C Muro'!#REF!</f>
        <v>#REF!</v>
      </c>
    </row>
    <row r="10" spans="1:19" ht="24.75" customHeight="1" thickBot="1" x14ac:dyDescent="0.25">
      <c r="A10" s="293" t="s">
        <v>0</v>
      </c>
      <c r="B10" s="295" t="s">
        <v>98</v>
      </c>
      <c r="C10" s="297" t="s">
        <v>99</v>
      </c>
      <c r="D10" s="320"/>
      <c r="E10" s="321" t="s">
        <v>161</v>
      </c>
      <c r="F10" s="321"/>
      <c r="G10" s="321"/>
      <c r="H10" s="321"/>
      <c r="I10" s="321"/>
      <c r="J10" s="321"/>
      <c r="K10" s="322"/>
    </row>
    <row r="11" spans="1:19" ht="15.75" customHeight="1" thickBot="1" x14ac:dyDescent="0.25">
      <c r="A11" s="294"/>
      <c r="B11" s="296"/>
      <c r="C11" s="48" t="s">
        <v>100</v>
      </c>
      <c r="D11" s="49" t="s">
        <v>101</v>
      </c>
      <c r="E11" s="86">
        <v>35</v>
      </c>
      <c r="F11" s="86">
        <v>35</v>
      </c>
      <c r="G11" s="86">
        <v>100</v>
      </c>
      <c r="H11" s="86">
        <v>130</v>
      </c>
      <c r="I11" s="86">
        <v>150</v>
      </c>
      <c r="J11" s="86">
        <v>180</v>
      </c>
      <c r="K11" s="49">
        <v>210</v>
      </c>
    </row>
    <row r="12" spans="1:19" ht="13.5" thickBot="1" x14ac:dyDescent="0.25">
      <c r="A12" s="275"/>
      <c r="B12" s="276"/>
      <c r="C12" s="53"/>
      <c r="D12" s="54"/>
      <c r="E12" s="53"/>
      <c r="F12" s="53"/>
      <c r="G12" s="53"/>
      <c r="H12" s="53"/>
      <c r="I12" s="53"/>
      <c r="J12" s="53"/>
      <c r="K12" s="54"/>
      <c r="N12" s="55"/>
      <c r="O12" s="55"/>
      <c r="P12" s="55"/>
      <c r="Q12" s="55"/>
    </row>
    <row r="13" spans="1:19" ht="13.5" thickBot="1" x14ac:dyDescent="0.3">
      <c r="A13" s="302"/>
      <c r="B13" s="304" t="s">
        <v>106</v>
      </c>
      <c r="C13" s="307">
        <f>E6</f>
        <v>172969.14</v>
      </c>
      <c r="D13" s="310">
        <f>C13/$E$6</f>
        <v>1</v>
      </c>
      <c r="E13" s="56">
        <f>ROUND(('Crono.'!G30),2)</f>
        <v>210187.6</v>
      </c>
      <c r="F13" s="57"/>
      <c r="G13" s="56">
        <f>ROUND((('Crono.'!H30)-E13),2)</f>
        <v>63056.28</v>
      </c>
      <c r="H13" s="56"/>
      <c r="I13" s="56"/>
      <c r="J13" s="56">
        <f>ROUND((E6-(G13+E13)),2)</f>
        <v>-100274.74</v>
      </c>
      <c r="K13" s="57"/>
      <c r="N13" s="55"/>
      <c r="O13" s="55"/>
      <c r="P13" s="55"/>
      <c r="Q13" s="55"/>
    </row>
    <row r="14" spans="1:19" ht="13.5" thickBot="1" x14ac:dyDescent="0.3">
      <c r="A14" s="303"/>
      <c r="B14" s="305"/>
      <c r="C14" s="308"/>
      <c r="D14" s="311"/>
      <c r="E14" s="58"/>
      <c r="F14" s="59"/>
      <c r="G14" s="58"/>
      <c r="H14" s="58"/>
      <c r="I14" s="58"/>
      <c r="J14" s="58"/>
      <c r="K14" s="59"/>
      <c r="N14" s="55"/>
      <c r="O14" s="55">
        <v>43514</v>
      </c>
      <c r="P14" s="55"/>
      <c r="Q14" s="55"/>
    </row>
    <row r="15" spans="1:19" ht="13.5" thickBot="1" x14ac:dyDescent="0.3">
      <c r="A15" s="303"/>
      <c r="B15" s="306"/>
      <c r="C15" s="309"/>
      <c r="D15" s="312"/>
      <c r="E15" s="60">
        <f t="shared" ref="E15:G15" si="0">E13/$C$13</f>
        <v>1.2151739899961345</v>
      </c>
      <c r="F15" s="60">
        <f t="shared" si="0"/>
        <v>0</v>
      </c>
      <c r="G15" s="60">
        <f t="shared" si="0"/>
        <v>0.36455219699884034</v>
      </c>
      <c r="H15" s="60">
        <f>H13/$C$13</f>
        <v>0</v>
      </c>
      <c r="I15" s="60">
        <f t="shared" ref="I15:K15" si="1">I13/$C$13</f>
        <v>0</v>
      </c>
      <c r="J15" s="60">
        <f t="shared" si="1"/>
        <v>-0.57972618699497491</v>
      </c>
      <c r="K15" s="61">
        <f t="shared" si="1"/>
        <v>0</v>
      </c>
      <c r="N15" s="55"/>
      <c r="O15" s="55">
        <f>O14+60</f>
        <v>43574</v>
      </c>
      <c r="P15" s="55"/>
      <c r="Q15" s="55"/>
    </row>
    <row r="16" spans="1:19" ht="13.5" thickBot="1" x14ac:dyDescent="0.3">
      <c r="A16" s="62"/>
      <c r="B16" s="63"/>
      <c r="C16" s="63"/>
      <c r="D16" s="63"/>
      <c r="E16" s="80"/>
      <c r="F16" s="63"/>
      <c r="G16" s="63"/>
      <c r="H16" s="63"/>
      <c r="I16" s="63"/>
      <c r="J16" s="63"/>
      <c r="K16" s="64"/>
      <c r="N16" s="55"/>
      <c r="O16" s="55"/>
      <c r="P16" s="55"/>
      <c r="Q16" s="55"/>
    </row>
    <row r="17" spans="1:11" x14ac:dyDescent="0.25">
      <c r="A17" s="317">
        <f>'Planilha Orçamentária'!A104:C104</f>
        <v>43551</v>
      </c>
      <c r="B17" s="318"/>
      <c r="C17" s="318"/>
      <c r="D17" s="318"/>
      <c r="E17" s="318"/>
      <c r="F17" s="318"/>
      <c r="G17" s="318"/>
      <c r="H17" s="318"/>
      <c r="I17" s="318"/>
      <c r="J17" s="318"/>
      <c r="K17" s="319"/>
    </row>
    <row r="18" spans="1:11" ht="47.25" customHeight="1" x14ac:dyDescent="0.2">
      <c r="A18" s="272" t="s">
        <v>20</v>
      </c>
      <c r="B18" s="243"/>
      <c r="C18" s="243"/>
      <c r="D18" s="243"/>
      <c r="E18" s="243"/>
      <c r="F18" s="243" t="s">
        <v>19</v>
      </c>
      <c r="G18" s="243"/>
      <c r="H18" s="243"/>
      <c r="I18" s="243"/>
      <c r="J18" s="243"/>
      <c r="K18" s="244"/>
    </row>
    <row r="19" spans="1:11" x14ac:dyDescent="0.2">
      <c r="A19" s="272" t="s">
        <v>155</v>
      </c>
      <c r="B19" s="243"/>
      <c r="C19" s="243"/>
      <c r="D19" s="243"/>
      <c r="E19" s="243"/>
      <c r="F19" s="243" t="s">
        <v>77</v>
      </c>
      <c r="G19" s="243"/>
      <c r="H19" s="243"/>
      <c r="I19" s="243"/>
      <c r="J19" s="243"/>
      <c r="K19" s="244"/>
    </row>
    <row r="20" spans="1:11" ht="13.5" thickBot="1" x14ac:dyDescent="0.3">
      <c r="A20" s="274" t="s">
        <v>150</v>
      </c>
      <c r="B20" s="245"/>
      <c r="C20" s="245"/>
      <c r="D20" s="245"/>
      <c r="E20" s="245"/>
      <c r="F20" s="245" t="s">
        <v>14</v>
      </c>
      <c r="G20" s="245"/>
      <c r="H20" s="245"/>
      <c r="I20" s="245"/>
      <c r="J20" s="245"/>
      <c r="K20" s="246"/>
    </row>
    <row r="21" spans="1:11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</row>
  </sheetData>
  <dataConsolidate/>
  <mergeCells count="24">
    <mergeCell ref="A17:K17"/>
    <mergeCell ref="A13:A15"/>
    <mergeCell ref="B13:B15"/>
    <mergeCell ref="C13:C15"/>
    <mergeCell ref="D13:D15"/>
    <mergeCell ref="A12:B12"/>
    <mergeCell ref="A1:B6"/>
    <mergeCell ref="C1:K2"/>
    <mergeCell ref="C3:K3"/>
    <mergeCell ref="C4:K4"/>
    <mergeCell ref="C5:K5"/>
    <mergeCell ref="C6:D6"/>
    <mergeCell ref="E6:F6"/>
    <mergeCell ref="E7:I7"/>
    <mergeCell ref="A10:A11"/>
    <mergeCell ref="B10:B11"/>
    <mergeCell ref="C10:D10"/>
    <mergeCell ref="E10:K10"/>
    <mergeCell ref="A18:E18"/>
    <mergeCell ref="F18:K18"/>
    <mergeCell ref="A19:E19"/>
    <mergeCell ref="F19:K19"/>
    <mergeCell ref="A20:E20"/>
    <mergeCell ref="F20:K20"/>
  </mergeCells>
  <printOptions horizontalCentered="1"/>
  <pageMargins left="0.19685039370078741" right="0.19685039370078741" top="0.56000000000000005" bottom="0.62" header="0.39" footer="0.27"/>
  <pageSetup paperSize="9" fitToHeight="0" orientation="landscape" r:id="rId1"/>
  <headerFooter alignWithMargins="0">
    <oddFooter>&amp;C&amp;F&amp;R&amp;P/&amp;N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Planilha Orçamentária</vt:lpstr>
      <vt:lpstr>Memória de Cálculo</vt:lpstr>
      <vt:lpstr>Crono.</vt:lpstr>
      <vt:lpstr>Desembolso</vt:lpstr>
      <vt:lpstr>Crono.!Area_de_impressao</vt:lpstr>
      <vt:lpstr>Desembolso!Area_de_impressao</vt:lpstr>
      <vt:lpstr>'Memória de Cálculo'!Area_de_impressao</vt:lpstr>
      <vt:lpstr>'Planilha Orçamentária'!Area_de_impressao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Lucas Rodrigues Ramos</cp:lastModifiedBy>
  <cp:lastPrinted>2021-07-26T18:28:34Z</cp:lastPrinted>
  <dcterms:created xsi:type="dcterms:W3CDTF">2015-09-16T17:33:27Z</dcterms:created>
  <dcterms:modified xsi:type="dcterms:W3CDTF">2021-07-26T18:28:36Z</dcterms:modified>
</cp:coreProperties>
</file>