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PROJETOS MARLON\PREFEITURA DE ATILIO VIVACQUAL\SECRETARIA DE SAÚDE\"/>
    </mc:Choice>
  </mc:AlternateContent>
  <xr:revisionPtr revIDLastSave="0" documentId="13_ncr:1_{79D83DD9-FE97-4CF4-AE4B-076DEC62405C}" xr6:coauthVersionLast="47" xr6:coauthVersionMax="47" xr10:uidLastSave="{00000000-0000-0000-0000-000000000000}"/>
  <bookViews>
    <workbookView xWindow="-108" yWindow="-108" windowWidth="23256" windowHeight="13176" firstSheet="1" activeTab="1" xr2:uid="{00000000-000D-0000-FFFF-FFFF00000000}"/>
  </bookViews>
  <sheets>
    <sheet name="CRONOGRAMA" sheetId="1" state="hidden" r:id="rId1"/>
    <sheet name="ORÇAMENTO" sheetId="2" r:id="rId2"/>
    <sheet name="MEMORIAL DE CALCULO" sheetId="6" r:id="rId3"/>
    <sheet name="Plan1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CRONOGRAMA!$A$1:$J$38</definedName>
    <definedName name="_xlnm.Print_Area" localSheetId="1">ORÇAMENTO!$A$1:$G$137</definedName>
    <definedName name="_xlnm.Print_Titles" localSheetId="0">(CRONOGRAMA!$A:$D,CRONOGRAMA!$1:$7)</definedName>
    <definedName name="_xlnm.Print_Titles" localSheetId="1">ORÇAMENTO!$1:$6</definedName>
  </definedNames>
  <calcPr calcId="181029"/>
</workbook>
</file>

<file path=xl/calcChain.xml><?xml version="1.0" encoding="utf-8"?>
<calcChain xmlns="http://schemas.openxmlformats.org/spreadsheetml/2006/main">
  <c r="E10" i="2" l="1"/>
  <c r="J9" i="6"/>
  <c r="H9" i="6"/>
  <c r="E48" i="2"/>
  <c r="J153" i="6"/>
  <c r="J155" i="6"/>
  <c r="E49" i="2" s="1"/>
  <c r="E28" i="2"/>
  <c r="E27" i="2"/>
  <c r="J60" i="6"/>
  <c r="J65" i="6"/>
  <c r="J35" i="6"/>
  <c r="E19" i="2" s="1"/>
  <c r="J32" i="6"/>
  <c r="E18" i="2" s="1"/>
  <c r="H217" i="6"/>
  <c r="H108" i="6"/>
  <c r="I108" i="6" s="1"/>
  <c r="H107" i="6"/>
  <c r="I107" i="6" s="1"/>
  <c r="H106" i="6"/>
  <c r="H105" i="6"/>
  <c r="I105" i="6" s="1"/>
  <c r="H104" i="6"/>
  <c r="I104" i="6" s="1"/>
  <c r="H103" i="6"/>
  <c r="I103" i="6" s="1"/>
  <c r="H102" i="6"/>
  <c r="I102" i="6" s="1"/>
  <c r="H100" i="6"/>
  <c r="I100" i="6" s="1"/>
  <c r="H101" i="6"/>
  <c r="I101" i="6" s="1"/>
  <c r="H98" i="6"/>
  <c r="I98" i="6" s="1"/>
  <c r="I106" i="6"/>
  <c r="I88" i="6"/>
  <c r="I89" i="6"/>
  <c r="I90" i="6"/>
  <c r="I91" i="6"/>
  <c r="I92" i="6"/>
  <c r="I93" i="6"/>
  <c r="I94" i="6"/>
  <c r="I95" i="6"/>
  <c r="I96" i="6"/>
  <c r="I97" i="6"/>
  <c r="I99" i="6"/>
  <c r="I87" i="6"/>
  <c r="B87" i="6"/>
  <c r="A87" i="6"/>
  <c r="J30" i="2"/>
  <c r="F30" i="2" s="1"/>
  <c r="J85" i="6"/>
  <c r="E29" i="2" s="1"/>
  <c r="J184" i="6"/>
  <c r="H186" i="6" s="1"/>
  <c r="E255" i="6"/>
  <c r="J255" i="6" s="1"/>
  <c r="E71" i="2" s="1"/>
  <c r="B155" i="6"/>
  <c r="A155" i="6"/>
  <c r="J49" i="2"/>
  <c r="F49" i="2" s="1"/>
  <c r="J364" i="6"/>
  <c r="E123" i="2" s="1"/>
  <c r="H362" i="6"/>
  <c r="J362" i="6" s="1"/>
  <c r="E122" i="2" s="1"/>
  <c r="J352" i="6"/>
  <c r="E114" i="2" s="1"/>
  <c r="J354" i="6"/>
  <c r="E115" i="2" s="1"/>
  <c r="J327" i="6"/>
  <c r="E100" i="2" s="1"/>
  <c r="J329" i="6"/>
  <c r="E101" i="2" s="1"/>
  <c r="J331" i="6"/>
  <c r="E102" i="2" s="1"/>
  <c r="J333" i="6"/>
  <c r="E103" i="2" s="1"/>
  <c r="J335" i="6"/>
  <c r="E104" i="2" s="1"/>
  <c r="J337" i="6"/>
  <c r="E105" i="2" s="1"/>
  <c r="J339" i="6"/>
  <c r="E106" i="2" s="1"/>
  <c r="J341" i="6"/>
  <c r="E107" i="2" s="1"/>
  <c r="J325" i="6"/>
  <c r="E99" i="2" s="1"/>
  <c r="I89" i="2"/>
  <c r="J89" i="2" s="1"/>
  <c r="F89" i="2" s="1"/>
  <c r="I88" i="2"/>
  <c r="C89" i="2"/>
  <c r="B308" i="6" s="1"/>
  <c r="C88" i="2"/>
  <c r="J308" i="6"/>
  <c r="E89" i="2" s="1"/>
  <c r="A308" i="6"/>
  <c r="G49" i="2" l="1"/>
  <c r="J108" i="6"/>
  <c r="E30" i="2" s="1"/>
  <c r="G30" i="2" s="1"/>
  <c r="E56" i="2"/>
  <c r="G89" i="2"/>
  <c r="J322" i="6"/>
  <c r="J320" i="6"/>
  <c r="J318" i="6"/>
  <c r="J316" i="6"/>
  <c r="J314" i="6"/>
  <c r="E92" i="2" s="1"/>
  <c r="J312" i="6"/>
  <c r="E91" i="2" s="1"/>
  <c r="J310" i="6"/>
  <c r="E90" i="2" s="1"/>
  <c r="J306" i="6"/>
  <c r="E88" i="2" s="1"/>
  <c r="E84" i="2"/>
  <c r="J303" i="6"/>
  <c r="E85" i="2" s="1"/>
  <c r="J299" i="6"/>
  <c r="E83" i="2" s="1"/>
  <c r="J297" i="6"/>
  <c r="E82" i="2" s="1"/>
  <c r="J295" i="6"/>
  <c r="E81" i="2" s="1"/>
  <c r="J293" i="6"/>
  <c r="E80" i="2" s="1"/>
  <c r="J291" i="6"/>
  <c r="E79" i="2" s="1"/>
  <c r="J287" i="6"/>
  <c r="E78" i="2" s="1"/>
  <c r="J283" i="6"/>
  <c r="E77" i="2" s="1"/>
  <c r="J279" i="6"/>
  <c r="E76" i="2" s="1"/>
  <c r="J275" i="6"/>
  <c r="E75" i="2" s="1"/>
  <c r="J270" i="6"/>
  <c r="E72" i="2" s="1"/>
  <c r="H238" i="6"/>
  <c r="G238" i="6"/>
  <c r="F238" i="6"/>
  <c r="E238" i="6"/>
  <c r="D238" i="6"/>
  <c r="E93" i="2" l="1"/>
  <c r="D344" i="6"/>
  <c r="J344" i="6" s="1"/>
  <c r="E110" i="2" s="1"/>
  <c r="E96" i="2"/>
  <c r="D350" i="6"/>
  <c r="J350" i="6" s="1"/>
  <c r="E113" i="2" s="1"/>
  <c r="D348" i="6"/>
  <c r="J348" i="6" s="1"/>
  <c r="E112" i="2" s="1"/>
  <c r="E95" i="2"/>
  <c r="E94" i="2"/>
  <c r="D346" i="6"/>
  <c r="J346" i="6" s="1"/>
  <c r="E111" i="2" s="1"/>
  <c r="J238" i="6"/>
  <c r="E70" i="2" s="1"/>
  <c r="J212" i="6" l="1"/>
  <c r="H214" i="6" s="1"/>
  <c r="J214" i="6" s="1"/>
  <c r="E66" i="2" s="1"/>
  <c r="H200" i="6"/>
  <c r="H199" i="6"/>
  <c r="H197" i="6"/>
  <c r="H196" i="6"/>
  <c r="H195" i="6"/>
  <c r="H191" i="6"/>
  <c r="J186" i="6"/>
  <c r="E57" i="2" s="1"/>
  <c r="E65" i="2" l="1"/>
  <c r="H216" i="6"/>
  <c r="J200" i="6"/>
  <c r="E62" i="2" s="1"/>
  <c r="J161" i="6"/>
  <c r="E52" i="2" s="1"/>
  <c r="J163" i="6"/>
  <c r="E53" i="2" s="1"/>
  <c r="J157" i="6"/>
  <c r="E50" i="2" s="1"/>
  <c r="J159" i="6"/>
  <c r="E51" i="2" s="1"/>
  <c r="H150" i="6"/>
  <c r="H149" i="6"/>
  <c r="H148" i="6"/>
  <c r="H147" i="6"/>
  <c r="H146" i="6"/>
  <c r="H145" i="6"/>
  <c r="H138" i="6"/>
  <c r="H139" i="6"/>
  <c r="H140" i="6"/>
  <c r="H142" i="6"/>
  <c r="H143" i="6"/>
  <c r="H137" i="6"/>
  <c r="H135" i="6"/>
  <c r="J135" i="6" s="1"/>
  <c r="E42" i="2" s="1"/>
  <c r="J129" i="6"/>
  <c r="E39" i="2" s="1"/>
  <c r="J122" i="6"/>
  <c r="E34" i="2" s="1"/>
  <c r="D129" i="6"/>
  <c r="D135" i="6" s="1"/>
  <c r="D127" i="6"/>
  <c r="D133" i="6" s="1"/>
  <c r="J133" i="6" s="1"/>
  <c r="E41" i="2" s="1"/>
  <c r="D125" i="6"/>
  <c r="D131" i="6" s="1"/>
  <c r="J131" i="6" s="1"/>
  <c r="E40" i="2" s="1"/>
  <c r="E50" i="6"/>
  <c r="H50" i="6" s="1"/>
  <c r="G49" i="6"/>
  <c r="G52" i="6"/>
  <c r="G54" i="6" s="1"/>
  <c r="G112" i="6" s="1"/>
  <c r="F37" i="6"/>
  <c r="F39" i="6" s="1"/>
  <c r="E37" i="6"/>
  <c r="E39" i="6" s="1"/>
  <c r="G29" i="6"/>
  <c r="G44" i="6" s="1"/>
  <c r="F29" i="6"/>
  <c r="F42" i="6" s="1"/>
  <c r="F44" i="6" s="1"/>
  <c r="G28" i="6"/>
  <c r="G40" i="6" s="1"/>
  <c r="F28" i="6"/>
  <c r="F40" i="6" s="1"/>
  <c r="F47" i="6" s="1"/>
  <c r="F52" i="6" s="1"/>
  <c r="F54" i="6" s="1"/>
  <c r="E28" i="6"/>
  <c r="E40" i="6" s="1"/>
  <c r="E47" i="6" s="1"/>
  <c r="E49" i="6" s="1"/>
  <c r="E13" i="6"/>
  <c r="E29" i="6" s="1"/>
  <c r="E42" i="6" s="1"/>
  <c r="D28" i="6"/>
  <c r="D37" i="6" s="1"/>
  <c r="D40" i="6" s="1"/>
  <c r="D47" i="6" s="1"/>
  <c r="D52" i="6" s="1"/>
  <c r="J150" i="6" l="1"/>
  <c r="E45" i="2" s="1"/>
  <c r="J217" i="6"/>
  <c r="E67" i="2" s="1"/>
  <c r="J143" i="6"/>
  <c r="E44" i="2" s="1"/>
  <c r="J140" i="6"/>
  <c r="J125" i="6"/>
  <c r="E37" i="2" s="1"/>
  <c r="J127" i="6"/>
  <c r="E38" i="2" s="1"/>
  <c r="G111" i="6"/>
  <c r="E55" i="6"/>
  <c r="E112" i="6" s="1"/>
  <c r="H112" i="6" s="1"/>
  <c r="H190" i="6" s="1"/>
  <c r="F49" i="6"/>
  <c r="H49" i="6" s="1"/>
  <c r="G55" i="6"/>
  <c r="F48" i="6"/>
  <c r="F53" i="6" s="1"/>
  <c r="F55" i="6" s="1"/>
  <c r="H47" i="6"/>
  <c r="E52" i="6"/>
  <c r="D39" i="6"/>
  <c r="I39" i="6" s="1"/>
  <c r="I40" i="6"/>
  <c r="I37" i="6"/>
  <c r="J37" i="6" s="1"/>
  <c r="E20" i="2" s="1"/>
  <c r="H28" i="6"/>
  <c r="I42" i="6"/>
  <c r="J42" i="6" s="1"/>
  <c r="E22" i="2" s="1"/>
  <c r="E44" i="6"/>
  <c r="H29" i="6"/>
  <c r="E43" i="2" l="1"/>
  <c r="H359" i="6"/>
  <c r="J359" i="6" s="1"/>
  <c r="E119" i="2" s="1"/>
  <c r="I55" i="6"/>
  <c r="I52" i="6"/>
  <c r="E54" i="6"/>
  <c r="I54" i="6" s="1"/>
  <c r="H44" i="6"/>
  <c r="J44" i="6" s="1"/>
  <c r="E23" i="2" s="1"/>
  <c r="E48" i="6"/>
  <c r="J40" i="6"/>
  <c r="E21" i="2" s="1"/>
  <c r="J29" i="6"/>
  <c r="E17" i="2" s="1"/>
  <c r="E53" i="6" l="1"/>
  <c r="H48" i="6"/>
  <c r="I53" i="6" l="1"/>
  <c r="J55" i="6" s="1"/>
  <c r="E26" i="2" s="1"/>
  <c r="E111" i="6"/>
  <c r="H111" i="6" s="1"/>
  <c r="H189" i="6" s="1"/>
  <c r="J191" i="6" s="1"/>
  <c r="J50" i="6"/>
  <c r="E25" i="2" s="1"/>
  <c r="H193" i="6" l="1"/>
  <c r="J193" i="6" s="1"/>
  <c r="E60" i="2"/>
  <c r="J112" i="6"/>
  <c r="E33" i="2" s="1"/>
  <c r="E61" i="2" l="1"/>
  <c r="H357" i="6"/>
  <c r="J357" i="6" s="1"/>
  <c r="E118" i="2" s="1"/>
  <c r="I18" i="6" l="1"/>
  <c r="I19" i="6"/>
  <c r="I20" i="6"/>
  <c r="I21" i="6"/>
  <c r="I22" i="6"/>
  <c r="I23" i="6"/>
  <c r="I24" i="6"/>
  <c r="I25" i="6"/>
  <c r="I26" i="6"/>
  <c r="I17" i="6"/>
  <c r="I13" i="6"/>
  <c r="J26" i="6" l="1"/>
  <c r="E16" i="2" s="1"/>
  <c r="I12" i="6"/>
  <c r="N11" i="6"/>
  <c r="J7" i="6"/>
  <c r="E8" i="2" l="1"/>
  <c r="H367" i="6"/>
  <c r="J367" i="6" s="1"/>
  <c r="E126" i="2" s="1"/>
  <c r="J13" i="6"/>
  <c r="A163" i="6"/>
  <c r="I53" i="2"/>
  <c r="J53" i="2" s="1"/>
  <c r="F53" i="2" s="1"/>
  <c r="G53" i="2" s="1"/>
  <c r="C53" i="2"/>
  <c r="B163" i="6" s="1"/>
  <c r="B53" i="2"/>
  <c r="J8" i="6"/>
  <c r="E9" i="2" s="1"/>
  <c r="B366" i="6"/>
  <c r="A367" i="6"/>
  <c r="A366" i="6"/>
  <c r="A364" i="6"/>
  <c r="A362" i="6"/>
  <c r="B361" i="6"/>
  <c r="A361" i="6"/>
  <c r="A359" i="6"/>
  <c r="A357" i="6"/>
  <c r="B356" i="6"/>
  <c r="A356" i="6"/>
  <c r="A354" i="6"/>
  <c r="A352" i="6"/>
  <c r="A350" i="6"/>
  <c r="A348" i="6"/>
  <c r="A346" i="6"/>
  <c r="A344" i="6"/>
  <c r="B343" i="6"/>
  <c r="B324" i="6"/>
  <c r="A343" i="6"/>
  <c r="A341" i="6"/>
  <c r="A339" i="6"/>
  <c r="A337" i="6"/>
  <c r="A335" i="6"/>
  <c r="A333" i="6"/>
  <c r="A331" i="6"/>
  <c r="A329" i="6"/>
  <c r="A327" i="6"/>
  <c r="A325" i="6"/>
  <c r="A324" i="6"/>
  <c r="B316" i="6"/>
  <c r="A322" i="6"/>
  <c r="A320" i="6"/>
  <c r="A318" i="6"/>
  <c r="A316" i="6"/>
  <c r="A314" i="6"/>
  <c r="A312" i="6"/>
  <c r="A310" i="6"/>
  <c r="A306" i="6"/>
  <c r="A305" i="6"/>
  <c r="B272" i="6"/>
  <c r="A303" i="6"/>
  <c r="A301" i="6"/>
  <c r="A299" i="6"/>
  <c r="A297" i="6"/>
  <c r="A295" i="6"/>
  <c r="A293" i="6"/>
  <c r="A289" i="6"/>
  <c r="A285" i="6"/>
  <c r="A281" i="6"/>
  <c r="A277" i="6"/>
  <c r="A273" i="6"/>
  <c r="A272" i="6"/>
  <c r="B219" i="6"/>
  <c r="A257" i="6"/>
  <c r="A240" i="6"/>
  <c r="A220" i="6"/>
  <c r="A219" i="6"/>
  <c r="A216" i="6"/>
  <c r="A214" i="6"/>
  <c r="A203" i="6"/>
  <c r="B188" i="6"/>
  <c r="B202" i="6"/>
  <c r="A202" i="6"/>
  <c r="B195" i="6"/>
  <c r="A195" i="6"/>
  <c r="A193" i="6"/>
  <c r="A189" i="6"/>
  <c r="A188" i="6"/>
  <c r="B165" i="6"/>
  <c r="A186" i="6"/>
  <c r="A166" i="6"/>
  <c r="A165" i="6"/>
  <c r="B152" i="6"/>
  <c r="A161" i="6"/>
  <c r="A159" i="6"/>
  <c r="A157" i="6"/>
  <c r="A153" i="6"/>
  <c r="A152" i="6"/>
  <c r="B124" i="6"/>
  <c r="A145" i="6"/>
  <c r="A142" i="6"/>
  <c r="A137" i="6"/>
  <c r="A135" i="6"/>
  <c r="A133" i="6"/>
  <c r="A131" i="6"/>
  <c r="A129" i="6"/>
  <c r="A127" i="6"/>
  <c r="A125" i="6"/>
  <c r="A124" i="6"/>
  <c r="B110" i="6"/>
  <c r="A114" i="6"/>
  <c r="A111" i="6"/>
  <c r="A110" i="6"/>
  <c r="B46" i="6"/>
  <c r="B12" i="6"/>
  <c r="B11" i="6"/>
  <c r="A67" i="6"/>
  <c r="A62" i="6"/>
  <c r="A57" i="6"/>
  <c r="A52" i="6"/>
  <c r="A47" i="6"/>
  <c r="A46" i="6"/>
  <c r="A44" i="6"/>
  <c r="A42" i="6"/>
  <c r="A39" i="6"/>
  <c r="A37" i="6"/>
  <c r="A34" i="6"/>
  <c r="A31" i="6"/>
  <c r="A28" i="6"/>
  <c r="A17" i="6"/>
  <c r="A15" i="6"/>
  <c r="A12" i="6"/>
  <c r="A11" i="6"/>
  <c r="A10" i="6"/>
  <c r="A9" i="6"/>
  <c r="A8" i="6"/>
  <c r="A7" i="6"/>
  <c r="B6" i="6"/>
  <c r="A6" i="6"/>
  <c r="I123" i="2"/>
  <c r="J123" i="2" s="1"/>
  <c r="F123" i="2" s="1"/>
  <c r="G123" i="2" s="1"/>
  <c r="C123" i="2"/>
  <c r="B364" i="6" s="1"/>
  <c r="B123" i="2"/>
  <c r="I122" i="2"/>
  <c r="J122" i="2" s="1"/>
  <c r="F122" i="2" s="1"/>
  <c r="G122" i="2" s="1"/>
  <c r="C122" i="2"/>
  <c r="B362" i="6" s="1"/>
  <c r="B122" i="2"/>
  <c r="I115" i="2"/>
  <c r="C115" i="2"/>
  <c r="B354" i="6" s="1"/>
  <c r="I114" i="2"/>
  <c r="C114" i="2"/>
  <c r="B352" i="6" s="1"/>
  <c r="E14" i="2" l="1"/>
  <c r="I15" i="6"/>
  <c r="J15" i="6" s="1"/>
  <c r="E15" i="2" s="1"/>
  <c r="G124" i="2"/>
  <c r="I113" i="2"/>
  <c r="C113" i="2"/>
  <c r="B350" i="6" s="1"/>
  <c r="B113" i="2"/>
  <c r="I112" i="2"/>
  <c r="C112" i="2"/>
  <c r="B348" i="6" s="1"/>
  <c r="B112" i="2"/>
  <c r="I111" i="2"/>
  <c r="C111" i="2"/>
  <c r="B346" i="6" s="1"/>
  <c r="B111" i="2"/>
  <c r="I110" i="2" l="1"/>
  <c r="C110" i="2"/>
  <c r="B344" i="6" s="1"/>
  <c r="B110" i="2"/>
  <c r="I107" i="2"/>
  <c r="J107" i="2" s="1"/>
  <c r="F107" i="2" s="1"/>
  <c r="G107" i="2" s="1"/>
  <c r="C107" i="2"/>
  <c r="B341" i="6" s="1"/>
  <c r="B107" i="2"/>
  <c r="I106" i="2"/>
  <c r="J106" i="2" s="1"/>
  <c r="F106" i="2" s="1"/>
  <c r="G106" i="2" s="1"/>
  <c r="C106" i="2"/>
  <c r="B339" i="6" s="1"/>
  <c r="B106" i="2"/>
  <c r="I105" i="2"/>
  <c r="J105" i="2" s="1"/>
  <c r="F105" i="2" s="1"/>
  <c r="G105" i="2" s="1"/>
  <c r="C105" i="2"/>
  <c r="B337" i="6" s="1"/>
  <c r="B105" i="2"/>
  <c r="I104" i="2"/>
  <c r="J104" i="2" s="1"/>
  <c r="F104" i="2" s="1"/>
  <c r="G104" i="2" s="1"/>
  <c r="C104" i="2"/>
  <c r="B335" i="6" s="1"/>
  <c r="B104" i="2"/>
  <c r="I101" i="2"/>
  <c r="J101" i="2" s="1"/>
  <c r="F101" i="2" s="1"/>
  <c r="G101" i="2" s="1"/>
  <c r="C101" i="2"/>
  <c r="B329" i="6" s="1"/>
  <c r="B101" i="2"/>
  <c r="J111" i="2"/>
  <c r="F111" i="2" s="1"/>
  <c r="G111" i="2" s="1"/>
  <c r="J112" i="2"/>
  <c r="F112" i="2" s="1"/>
  <c r="G112" i="2" s="1"/>
  <c r="J113" i="2"/>
  <c r="F113" i="2" s="1"/>
  <c r="G113" i="2" s="1"/>
  <c r="J114" i="2"/>
  <c r="F114" i="2" s="1"/>
  <c r="G114" i="2" s="1"/>
  <c r="J115" i="2"/>
  <c r="F115" i="2" s="1"/>
  <c r="G115" i="2" s="1"/>
  <c r="J110" i="2"/>
  <c r="F110" i="2" s="1"/>
  <c r="G110" i="2" s="1"/>
  <c r="I103" i="2"/>
  <c r="J103" i="2" s="1"/>
  <c r="F103" i="2" s="1"/>
  <c r="G103" i="2" s="1"/>
  <c r="C103" i="2"/>
  <c r="B333" i="6" s="1"/>
  <c r="B103" i="2"/>
  <c r="I102" i="2"/>
  <c r="C102" i="2"/>
  <c r="B331" i="6" s="1"/>
  <c r="B102" i="2"/>
  <c r="I100" i="2"/>
  <c r="J100" i="2" s="1"/>
  <c r="F100" i="2" s="1"/>
  <c r="G100" i="2" s="1"/>
  <c r="C100" i="2"/>
  <c r="B327" i="6" s="1"/>
  <c r="B100" i="2"/>
  <c r="I99" i="2"/>
  <c r="C99" i="2"/>
  <c r="B325" i="6" s="1"/>
  <c r="B99" i="2"/>
  <c r="I96" i="2"/>
  <c r="C96" i="2"/>
  <c r="B322" i="6" s="1"/>
  <c r="B96" i="2"/>
  <c r="I95" i="2"/>
  <c r="C95" i="2"/>
  <c r="B320" i="6" s="1"/>
  <c r="B95" i="2"/>
  <c r="I94" i="2"/>
  <c r="C94" i="2"/>
  <c r="B318" i="6" s="1"/>
  <c r="B94" i="2"/>
  <c r="I92" i="2"/>
  <c r="C92" i="2"/>
  <c r="B314" i="6" s="1"/>
  <c r="B92" i="2"/>
  <c r="I91" i="2"/>
  <c r="C91" i="2"/>
  <c r="B312" i="6" s="1"/>
  <c r="B91" i="2"/>
  <c r="I90" i="2"/>
  <c r="C90" i="2"/>
  <c r="B310" i="6" s="1"/>
  <c r="I85" i="2"/>
  <c r="C85" i="2"/>
  <c r="B303" i="6" s="1"/>
  <c r="B85" i="2"/>
  <c r="I84" i="2"/>
  <c r="C84" i="2"/>
  <c r="B301" i="6" s="1"/>
  <c r="B84" i="2"/>
  <c r="I83" i="2"/>
  <c r="C83" i="2"/>
  <c r="B299" i="6" s="1"/>
  <c r="B83" i="2"/>
  <c r="I82" i="2"/>
  <c r="C82" i="2"/>
  <c r="B297" i="6" s="1"/>
  <c r="B82" i="2"/>
  <c r="I81" i="2"/>
  <c r="C81" i="2"/>
  <c r="B295" i="6" s="1"/>
  <c r="B81" i="2"/>
  <c r="I80" i="2"/>
  <c r="C80" i="2"/>
  <c r="B293" i="6" s="1"/>
  <c r="B80" i="2"/>
  <c r="I79" i="2"/>
  <c r="C79" i="2"/>
  <c r="B289" i="6" s="1"/>
  <c r="B79" i="2"/>
  <c r="I78" i="2"/>
  <c r="C78" i="2"/>
  <c r="B285" i="6" s="1"/>
  <c r="B78" i="2"/>
  <c r="I77" i="2"/>
  <c r="C77" i="2"/>
  <c r="B281" i="6" s="1"/>
  <c r="B77" i="2"/>
  <c r="I76" i="2"/>
  <c r="C76" i="2"/>
  <c r="B277" i="6" s="1"/>
  <c r="B76" i="2"/>
  <c r="I75" i="2"/>
  <c r="C75" i="2"/>
  <c r="B273" i="6" s="1"/>
  <c r="B75" i="2"/>
  <c r="I42" i="2"/>
  <c r="J42" i="2" s="1"/>
  <c r="F42" i="2" s="1"/>
  <c r="G42" i="2" s="1"/>
  <c r="J4" i="6"/>
  <c r="B4" i="6"/>
  <c r="B3" i="6"/>
  <c r="B153" i="6"/>
  <c r="C50" i="2"/>
  <c r="B157" i="6" s="1"/>
  <c r="B51" i="2"/>
  <c r="C51" i="2"/>
  <c r="B159" i="6" s="1"/>
  <c r="B52" i="2"/>
  <c r="C52" i="2"/>
  <c r="B161" i="6" s="1"/>
  <c r="C70" i="2"/>
  <c r="B220" i="6" s="1"/>
  <c r="I67" i="2"/>
  <c r="C67" i="2"/>
  <c r="B216" i="6" s="1"/>
  <c r="B67" i="2"/>
  <c r="I65" i="2"/>
  <c r="C65" i="2"/>
  <c r="B203" i="6" s="1"/>
  <c r="B65" i="2"/>
  <c r="I61" i="2"/>
  <c r="C61" i="2"/>
  <c r="B193" i="6" s="1"/>
  <c r="B61" i="2"/>
  <c r="I57" i="2"/>
  <c r="J57" i="2" s="1"/>
  <c r="F57" i="2" s="1"/>
  <c r="G57" i="2" s="1"/>
  <c r="C57" i="2"/>
  <c r="B186" i="6" s="1"/>
  <c r="B57" i="2"/>
  <c r="I56" i="2"/>
  <c r="J56" i="2" s="1"/>
  <c r="F56" i="2" s="1"/>
  <c r="G56" i="2" s="1"/>
  <c r="C56" i="2"/>
  <c r="B166" i="6" s="1"/>
  <c r="B56" i="2"/>
  <c r="C42" i="2"/>
  <c r="B135" i="6" s="1"/>
  <c r="I45" i="2"/>
  <c r="C45" i="2"/>
  <c r="B145" i="6" s="1"/>
  <c r="B45" i="2"/>
  <c r="I44" i="2"/>
  <c r="C44" i="2"/>
  <c r="B142" i="6" s="1"/>
  <c r="B44" i="2"/>
  <c r="I43" i="2"/>
  <c r="J43" i="2" s="1"/>
  <c r="F43" i="2" s="1"/>
  <c r="G43" i="2" s="1"/>
  <c r="C43" i="2"/>
  <c r="B137" i="6" s="1"/>
  <c r="B43" i="2"/>
  <c r="C41" i="2"/>
  <c r="B133" i="6" s="1"/>
  <c r="B41" i="2"/>
  <c r="I41" i="2"/>
  <c r="J41" i="2" s="1"/>
  <c r="F41" i="2" s="1"/>
  <c r="G41" i="2" s="1"/>
  <c r="I40" i="2"/>
  <c r="J40" i="2" s="1"/>
  <c r="F40" i="2" s="1"/>
  <c r="G40" i="2" s="1"/>
  <c r="C40" i="2"/>
  <c r="B131" i="6" s="1"/>
  <c r="B40" i="2"/>
  <c r="I39" i="2"/>
  <c r="C39" i="2"/>
  <c r="B129" i="6" s="1"/>
  <c r="B39" i="2"/>
  <c r="I38" i="2"/>
  <c r="C38" i="2"/>
  <c r="B127" i="6" s="1"/>
  <c r="B38" i="2"/>
  <c r="I37" i="2"/>
  <c r="C37" i="2"/>
  <c r="B125" i="6" s="1"/>
  <c r="B37" i="2"/>
  <c r="I16" i="2"/>
  <c r="J16" i="2" s="1"/>
  <c r="F16" i="2" s="1"/>
  <c r="G16" i="2" s="1"/>
  <c r="C16" i="2"/>
  <c r="B17" i="6" s="1"/>
  <c r="B16" i="2"/>
  <c r="I15" i="2"/>
  <c r="J15" i="2" s="1"/>
  <c r="F15" i="2" s="1"/>
  <c r="G15" i="2" s="1"/>
  <c r="C15" i="2"/>
  <c r="B15" i="6" s="1"/>
  <c r="B15" i="2"/>
  <c r="G116" i="2" l="1"/>
  <c r="G58" i="2"/>
  <c r="I50" i="2"/>
  <c r="I23" i="2"/>
  <c r="J23" i="2" s="1"/>
  <c r="F23" i="2" s="1"/>
  <c r="G23" i="2" s="1"/>
  <c r="C23" i="2"/>
  <c r="B44" i="6" s="1"/>
  <c r="I52" i="2"/>
  <c r="I51" i="2"/>
  <c r="J51" i="2" s="1"/>
  <c r="F51" i="2" s="1"/>
  <c r="G51" i="2" s="1"/>
  <c r="I34" i="2"/>
  <c r="C34" i="2"/>
  <c r="B114" i="6" s="1"/>
  <c r="B34" i="2"/>
  <c r="I33" i="2"/>
  <c r="J33" i="2" s="1"/>
  <c r="F33" i="2" s="1"/>
  <c r="G33" i="2" s="1"/>
  <c r="C33" i="2"/>
  <c r="B111" i="6" s="1"/>
  <c r="B33" i="2"/>
  <c r="I25" i="2"/>
  <c r="J25" i="2" s="1"/>
  <c r="F25" i="2" s="1"/>
  <c r="G25" i="2" s="1"/>
  <c r="C25" i="2"/>
  <c r="B47" i="6" s="1"/>
  <c r="B25" i="2"/>
  <c r="I29" i="2"/>
  <c r="J29" i="2" s="1"/>
  <c r="F29" i="2" s="1"/>
  <c r="G29" i="2" s="1"/>
  <c r="C29" i="2"/>
  <c r="B67" i="6" s="1"/>
  <c r="B29" i="2"/>
  <c r="I28" i="2"/>
  <c r="J28" i="2" s="1"/>
  <c r="F28" i="2" s="1"/>
  <c r="G28" i="2" s="1"/>
  <c r="I27" i="2"/>
  <c r="J27" i="2" s="1"/>
  <c r="F27" i="2" s="1"/>
  <c r="G27" i="2" s="1"/>
  <c r="C28" i="2"/>
  <c r="B62" i="6" s="1"/>
  <c r="B28" i="2"/>
  <c r="C27" i="2"/>
  <c r="B57" i="6" s="1"/>
  <c r="B27" i="2"/>
  <c r="I26" i="2"/>
  <c r="J26" i="2" s="1"/>
  <c r="F26" i="2" s="1"/>
  <c r="G26" i="2" s="1"/>
  <c r="C26" i="2"/>
  <c r="B52" i="6" s="1"/>
  <c r="B26" i="2"/>
  <c r="I21" i="2"/>
  <c r="J21" i="2" s="1"/>
  <c r="F21" i="2" s="1"/>
  <c r="G21" i="2" s="1"/>
  <c r="I20" i="2"/>
  <c r="J20" i="2" s="1"/>
  <c r="F20" i="2" s="1"/>
  <c r="G20" i="2" s="1"/>
  <c r="C21" i="2"/>
  <c r="B39" i="6" s="1"/>
  <c r="B21" i="2"/>
  <c r="C20" i="2"/>
  <c r="B37" i="6" s="1"/>
  <c r="B20" i="2"/>
  <c r="I9" i="2" l="1"/>
  <c r="J9" i="2" s="1"/>
  <c r="F9" i="2" s="1"/>
  <c r="G9" i="2" s="1"/>
  <c r="B9" i="2"/>
  <c r="C9" i="2"/>
  <c r="B8" i="6" s="1"/>
  <c r="C10" i="2"/>
  <c r="B9" i="6" s="1"/>
  <c r="I126" i="2"/>
  <c r="I119" i="2"/>
  <c r="I118" i="2"/>
  <c r="I93" i="2"/>
  <c r="I72" i="2"/>
  <c r="I71" i="2"/>
  <c r="I70" i="2"/>
  <c r="I66" i="2"/>
  <c r="I62" i="2"/>
  <c r="I60" i="2"/>
  <c r="I18" i="2"/>
  <c r="I19" i="2"/>
  <c r="I22" i="2"/>
  <c r="J22" i="2" s="1"/>
  <c r="I17" i="2"/>
  <c r="I14" i="2"/>
  <c r="I10" i="2"/>
  <c r="I8" i="2"/>
  <c r="B413" i="6" l="1"/>
  <c r="A413" i="6"/>
  <c r="B405" i="6"/>
  <c r="A405" i="6"/>
  <c r="J119" i="2"/>
  <c r="F119" i="2" s="1"/>
  <c r="C119" i="2"/>
  <c r="B359" i="6" s="1"/>
  <c r="B119" i="2"/>
  <c r="J118" i="2"/>
  <c r="F118" i="2" s="1"/>
  <c r="C118" i="2"/>
  <c r="B357" i="6" s="1"/>
  <c r="B118" i="2"/>
  <c r="B401" i="6"/>
  <c r="A401" i="6"/>
  <c r="J84" i="2"/>
  <c r="F84" i="2" s="1"/>
  <c r="J83" i="2"/>
  <c r="F83" i="2" s="1"/>
  <c r="J82" i="2"/>
  <c r="F82" i="2" s="1"/>
  <c r="J79" i="2"/>
  <c r="F79" i="2" s="1"/>
  <c r="J78" i="2"/>
  <c r="F78" i="2" s="1"/>
  <c r="J126" i="2"/>
  <c r="F126" i="2" s="1"/>
  <c r="G126" i="2" s="1"/>
  <c r="G127" i="2" s="1"/>
  <c r="C126" i="2"/>
  <c r="B367" i="6" s="1"/>
  <c r="B126" i="2"/>
  <c r="J85" i="2"/>
  <c r="F85" i="2" s="1"/>
  <c r="J81" i="2"/>
  <c r="F81" i="2" s="1"/>
  <c r="J80" i="2"/>
  <c r="F80" i="2" s="1"/>
  <c r="J77" i="2"/>
  <c r="F77" i="2" s="1"/>
  <c r="J76" i="2"/>
  <c r="F76" i="2" s="1"/>
  <c r="J75" i="2"/>
  <c r="F75" i="2" s="1"/>
  <c r="J94" i="2"/>
  <c r="F94" i="2" s="1"/>
  <c r="J102" i="2"/>
  <c r="F102" i="2" s="1"/>
  <c r="G102" i="2" s="1"/>
  <c r="J99" i="2"/>
  <c r="F99" i="2" s="1"/>
  <c r="G99" i="2" s="1"/>
  <c r="J96" i="2"/>
  <c r="F96" i="2" s="1"/>
  <c r="J95" i="2"/>
  <c r="F95" i="2" s="1"/>
  <c r="J93" i="2"/>
  <c r="F93" i="2" s="1"/>
  <c r="J92" i="2"/>
  <c r="F92" i="2" s="1"/>
  <c r="J91" i="2"/>
  <c r="F91" i="2" s="1"/>
  <c r="J88" i="2"/>
  <c r="F88" i="2" s="1"/>
  <c r="J90" i="2"/>
  <c r="F90" i="2" s="1"/>
  <c r="B90" i="2"/>
  <c r="B306" i="6"/>
  <c r="G108" i="2" l="1"/>
  <c r="G84" i="2"/>
  <c r="G78" i="2"/>
  <c r="G79" i="2"/>
  <c r="G82" i="2"/>
  <c r="G83" i="2"/>
  <c r="G92" i="2"/>
  <c r="J72" i="2" l="1"/>
  <c r="F72" i="2" s="1"/>
  <c r="C72" i="2"/>
  <c r="B257" i="6" s="1"/>
  <c r="B72" i="2"/>
  <c r="J71" i="2"/>
  <c r="F71" i="2" s="1"/>
  <c r="C71" i="2"/>
  <c r="B240" i="6" s="1"/>
  <c r="B71" i="2"/>
  <c r="J70" i="2"/>
  <c r="F70" i="2" s="1"/>
  <c r="B70" i="2"/>
  <c r="J67" i="2"/>
  <c r="F67" i="2" s="1"/>
  <c r="J66" i="2"/>
  <c r="F66" i="2" s="1"/>
  <c r="C66" i="2"/>
  <c r="B214" i="6" s="1"/>
  <c r="B66" i="2"/>
  <c r="J65" i="2"/>
  <c r="F65" i="2" s="1"/>
  <c r="J62" i="2"/>
  <c r="F62" i="2" s="1"/>
  <c r="J61" i="2"/>
  <c r="F61" i="2" s="1"/>
  <c r="J60" i="2"/>
  <c r="F60" i="2" s="1"/>
  <c r="C60" i="2"/>
  <c r="B189" i="6" s="1"/>
  <c r="B60" i="2"/>
  <c r="J39" i="2"/>
  <c r="F39" i="2" s="1"/>
  <c r="J38" i="2"/>
  <c r="F38" i="2" s="1"/>
  <c r="J37" i="2"/>
  <c r="F37" i="2" s="1"/>
  <c r="J52" i="2"/>
  <c r="F52" i="2" s="1"/>
  <c r="G52" i="2" s="1"/>
  <c r="J50" i="2"/>
  <c r="F50" i="2" s="1"/>
  <c r="G50" i="2" s="1"/>
  <c r="J48" i="2"/>
  <c r="F48" i="2" s="1"/>
  <c r="G48" i="2" s="1"/>
  <c r="J34" i="2"/>
  <c r="F34" i="2" s="1"/>
  <c r="J19" i="2"/>
  <c r="F19" i="2" s="1"/>
  <c r="C19" i="2"/>
  <c r="B34" i="6" s="1"/>
  <c r="B19" i="2"/>
  <c r="J18" i="2"/>
  <c r="F18" i="2" s="1"/>
  <c r="C18" i="2"/>
  <c r="B31" i="6" s="1"/>
  <c r="B18" i="2"/>
  <c r="F22" i="2"/>
  <c r="C22" i="2"/>
  <c r="B42" i="6" s="1"/>
  <c r="B22" i="2"/>
  <c r="J17" i="2"/>
  <c r="F17" i="2" s="1"/>
  <c r="C17" i="2"/>
  <c r="B28" i="6" s="1"/>
  <c r="B17" i="2"/>
  <c r="B8" i="2"/>
  <c r="G54" i="2" l="1"/>
  <c r="B305" i="6"/>
  <c r="B10" i="6" l="1"/>
  <c r="G119" i="2" l="1"/>
  <c r="G85" i="2"/>
  <c r="G81" i="2"/>
  <c r="G80" i="2"/>
  <c r="G77" i="2"/>
  <c r="G76" i="2"/>
  <c r="G75" i="2"/>
  <c r="G96" i="2"/>
  <c r="G95" i="2"/>
  <c r="G94" i="2"/>
  <c r="G93" i="2"/>
  <c r="G91" i="2"/>
  <c r="G90" i="2"/>
  <c r="G88" i="2"/>
  <c r="G70" i="2"/>
  <c r="G65" i="2"/>
  <c r="G62" i="2"/>
  <c r="G60" i="2"/>
  <c r="G38" i="2"/>
  <c r="G37" i="2"/>
  <c r="G34" i="2"/>
  <c r="G35" i="2" s="1"/>
  <c r="G22" i="2"/>
  <c r="G19" i="2"/>
  <c r="G18" i="2"/>
  <c r="G17" i="2"/>
  <c r="B14" i="2"/>
  <c r="J8" i="2"/>
  <c r="F8" i="2" s="1"/>
  <c r="C8" i="2"/>
  <c r="B7" i="6" s="1"/>
  <c r="B10" i="2"/>
  <c r="I30" i="5"/>
  <c r="E30" i="5" s="1"/>
  <c r="I18" i="5"/>
  <c r="C18" i="5" s="1"/>
  <c r="I45" i="5"/>
  <c r="E45" i="5" s="1"/>
  <c r="I42" i="5"/>
  <c r="E42" i="5" s="1"/>
  <c r="I39" i="5"/>
  <c r="E39" i="5" s="1"/>
  <c r="I36" i="5"/>
  <c r="E36" i="5" s="1"/>
  <c r="F36" i="5"/>
  <c r="G36" i="5"/>
  <c r="I33" i="5"/>
  <c r="E33" i="5" s="1"/>
  <c r="F33" i="5"/>
  <c r="D30" i="5"/>
  <c r="I27" i="5"/>
  <c r="D27" i="5" s="1"/>
  <c r="I24" i="5"/>
  <c r="D24" i="5" s="1"/>
  <c r="I21" i="5"/>
  <c r="E21" i="5" s="1"/>
  <c r="D9" i="5"/>
  <c r="E9" i="5"/>
  <c r="F9" i="5"/>
  <c r="G9" i="5"/>
  <c r="H9" i="5"/>
  <c r="I9" i="5"/>
  <c r="C9" i="5" s="1"/>
  <c r="D12" i="5"/>
  <c r="E12" i="5"/>
  <c r="F12" i="5"/>
  <c r="G12" i="5"/>
  <c r="H12" i="5"/>
  <c r="I12" i="5"/>
  <c r="C12" i="5" s="1"/>
  <c r="F15" i="5"/>
  <c r="G15" i="5"/>
  <c r="H15" i="5"/>
  <c r="I15" i="5"/>
  <c r="D15" i="5" s="1"/>
  <c r="F18" i="5"/>
  <c r="G18" i="5"/>
  <c r="H18" i="5"/>
  <c r="C21" i="5"/>
  <c r="D21" i="5"/>
  <c r="G21" i="5"/>
  <c r="H21" i="5"/>
  <c r="C24" i="5"/>
  <c r="C27" i="5"/>
  <c r="C30" i="5"/>
  <c r="F30" i="5"/>
  <c r="G30" i="5"/>
  <c r="H30" i="5"/>
  <c r="C33" i="5"/>
  <c r="G33" i="5"/>
  <c r="H33" i="5"/>
  <c r="C36" i="5"/>
  <c r="H36" i="5"/>
  <c r="C39" i="5"/>
  <c r="F39" i="5"/>
  <c r="C42" i="5"/>
  <c r="D42" i="5"/>
  <c r="F42" i="5"/>
  <c r="C45" i="5"/>
  <c r="D45" i="5"/>
  <c r="F45" i="5"/>
  <c r="C141" i="2"/>
  <c r="D8" i="1"/>
  <c r="C8" i="1" s="1"/>
  <c r="C35" i="1" s="1"/>
  <c r="L8" i="1"/>
  <c r="E9" i="1"/>
  <c r="G9" i="1"/>
  <c r="I9" i="1"/>
  <c r="L9" i="1"/>
  <c r="D10" i="1"/>
  <c r="H11" i="1" s="1"/>
  <c r="L10" i="1"/>
  <c r="L11" i="1"/>
  <c r="M11" i="1" s="1"/>
  <c r="D12" i="1"/>
  <c r="F13" i="1" s="1"/>
  <c r="L12" i="1"/>
  <c r="E13" i="1"/>
  <c r="L13" i="1"/>
  <c r="M13" i="1"/>
  <c r="D14" i="1"/>
  <c r="M15" i="1" s="1"/>
  <c r="L14" i="1"/>
  <c r="L15" i="1"/>
  <c r="D16" i="1"/>
  <c r="L16" i="1"/>
  <c r="L17" i="1"/>
  <c r="M17" i="1" s="1"/>
  <c r="D18" i="1"/>
  <c r="C18" i="1" s="1"/>
  <c r="L18" i="1"/>
  <c r="G19" i="1"/>
  <c r="L19" i="1"/>
  <c r="D20" i="1"/>
  <c r="E21" i="1" s="1"/>
  <c r="L20" i="1"/>
  <c r="F21" i="1"/>
  <c r="G21" i="1"/>
  <c r="J21" i="1"/>
  <c r="L21" i="1"/>
  <c r="M21" i="1" s="1"/>
  <c r="D22" i="1"/>
  <c r="J23" i="1" s="1"/>
  <c r="L22" i="1"/>
  <c r="L23" i="1"/>
  <c r="D24" i="1"/>
  <c r="H25" i="1" s="1"/>
  <c r="L24" i="1"/>
  <c r="I25" i="1"/>
  <c r="L25" i="1"/>
  <c r="D26" i="1"/>
  <c r="F27" i="1" s="1"/>
  <c r="L26" i="1"/>
  <c r="L27" i="1"/>
  <c r="M27" i="1" s="1"/>
  <c r="D28" i="1"/>
  <c r="F29" i="1" s="1"/>
  <c r="L28" i="1"/>
  <c r="E29" i="1"/>
  <c r="L29" i="1"/>
  <c r="M29" i="1"/>
  <c r="D30" i="1"/>
  <c r="F31" i="1" s="1"/>
  <c r="D32" i="1"/>
  <c r="E33" i="1" s="1"/>
  <c r="L32" i="1"/>
  <c r="L33" i="1"/>
  <c r="M33" i="1"/>
  <c r="D40" i="1"/>
  <c r="H27" i="1"/>
  <c r="M23" i="1"/>
  <c r="E24" i="5"/>
  <c r="H17" i="1"/>
  <c r="F17" i="1"/>
  <c r="J17" i="1"/>
  <c r="E17" i="1"/>
  <c r="H9" i="1"/>
  <c r="D37" i="1"/>
  <c r="C12" i="1" s="1"/>
  <c r="J9" i="1"/>
  <c r="I17" i="1"/>
  <c r="I27" i="1"/>
  <c r="J27" i="1"/>
  <c r="E27" i="1"/>
  <c r="G17" i="1"/>
  <c r="F33" i="1"/>
  <c r="G27" i="1"/>
  <c r="F11" i="1"/>
  <c r="I21" i="1"/>
  <c r="G86" i="2" l="1"/>
  <c r="G97" i="2"/>
  <c r="J10" i="2"/>
  <c r="F10" i="2" s="1"/>
  <c r="G10" i="2" s="1"/>
  <c r="G8" i="2"/>
  <c r="J14" i="2"/>
  <c r="F14" i="2" s="1"/>
  <c r="G14" i="2" s="1"/>
  <c r="G31" i="2" s="1"/>
  <c r="J45" i="2"/>
  <c r="F45" i="2" s="1"/>
  <c r="G45" i="2" s="1"/>
  <c r="F15" i="1"/>
  <c r="J13" i="1"/>
  <c r="C30" i="1"/>
  <c r="G31" i="1"/>
  <c r="F19" i="1"/>
  <c r="I19" i="1"/>
  <c r="H13" i="1"/>
  <c r="J29" i="1"/>
  <c r="H19" i="1"/>
  <c r="F9" i="1"/>
  <c r="C24" i="1"/>
  <c r="I29" i="1"/>
  <c r="I23" i="1"/>
  <c r="I13" i="1"/>
  <c r="J19" i="1"/>
  <c r="F23" i="1"/>
  <c r="H29" i="1"/>
  <c r="G23" i="1"/>
  <c r="C16" i="1"/>
  <c r="E19" i="1"/>
  <c r="H23" i="1"/>
  <c r="G29" i="1"/>
  <c r="E23" i="1"/>
  <c r="G13" i="1"/>
  <c r="M9" i="1"/>
  <c r="M19" i="1"/>
  <c r="D36" i="5"/>
  <c r="J11" i="1"/>
  <c r="C14" i="1"/>
  <c r="I33" i="1"/>
  <c r="H15" i="1"/>
  <c r="I31" i="1"/>
  <c r="J31" i="1"/>
  <c r="G25" i="1"/>
  <c r="G15" i="1"/>
  <c r="G11" i="1"/>
  <c r="M25" i="1"/>
  <c r="J15" i="1"/>
  <c r="H33" i="1"/>
  <c r="G33" i="1"/>
  <c r="H31" i="1"/>
  <c r="E25" i="1"/>
  <c r="H21" i="1"/>
  <c r="E15" i="1"/>
  <c r="G39" i="2"/>
  <c r="I15" i="1"/>
  <c r="E11" i="1"/>
  <c r="J25" i="1"/>
  <c r="G49" i="5"/>
  <c r="C26" i="1"/>
  <c r="C22" i="1"/>
  <c r="C28" i="1"/>
  <c r="I11" i="1"/>
  <c r="F25" i="1"/>
  <c r="J33" i="1"/>
  <c r="C32" i="1"/>
  <c r="C20" i="1"/>
  <c r="C10" i="1"/>
  <c r="E31" i="1"/>
  <c r="F49" i="5"/>
  <c r="H49" i="5"/>
  <c r="C15" i="5"/>
  <c r="C49" i="5" s="1"/>
  <c r="C50" i="5" s="1"/>
  <c r="D33" i="5"/>
  <c r="D18" i="5"/>
  <c r="D49" i="5" s="1"/>
  <c r="E27" i="5"/>
  <c r="E49" i="5" s="1"/>
  <c r="I49" i="5"/>
  <c r="J15" i="5" s="1"/>
  <c r="G67" i="2"/>
  <c r="G66" i="2"/>
  <c r="G71" i="2"/>
  <c r="G72" i="2"/>
  <c r="G11" i="2" l="1"/>
  <c r="G73" i="2"/>
  <c r="G68" i="2"/>
  <c r="G61" i="2"/>
  <c r="G63" i="2" s="1"/>
  <c r="J44" i="2"/>
  <c r="F44" i="2" s="1"/>
  <c r="G44" i="2" s="1"/>
  <c r="G46" i="2" s="1"/>
  <c r="G37" i="1"/>
  <c r="G35" i="1" s="1"/>
  <c r="J33" i="5"/>
  <c r="H37" i="1"/>
  <c r="H35" i="1" s="1"/>
  <c r="J30" i="5"/>
  <c r="F37" i="1"/>
  <c r="F35" i="1" s="1"/>
  <c r="I37" i="1"/>
  <c r="I35" i="1" s="1"/>
  <c r="J37" i="1"/>
  <c r="J35" i="1" s="1"/>
  <c r="J36" i="5"/>
  <c r="E37" i="1"/>
  <c r="D50" i="5"/>
  <c r="E50" i="5" s="1"/>
  <c r="F50" i="5" s="1"/>
  <c r="G50" i="5" s="1"/>
  <c r="H50" i="5" s="1"/>
  <c r="J39" i="5"/>
  <c r="J45" i="5"/>
  <c r="J12" i="5"/>
  <c r="J42" i="5"/>
  <c r="J21" i="5"/>
  <c r="J27" i="5"/>
  <c r="J9" i="5"/>
  <c r="J24" i="5"/>
  <c r="J18" i="5"/>
  <c r="G118" i="2" l="1"/>
  <c r="G120" i="2" s="1"/>
  <c r="E130" i="2" s="1"/>
  <c r="G129" i="2" s="1"/>
  <c r="E35" i="1"/>
  <c r="E36" i="1" s="1"/>
  <c r="F36" i="1" s="1"/>
  <c r="G36" i="1" s="1"/>
  <c r="H36" i="1" s="1"/>
  <c r="I36" i="1" s="1"/>
  <c r="J36" i="1" s="1"/>
  <c r="E38" i="1"/>
  <c r="F38" i="1" s="1"/>
  <c r="G38" i="1" s="1"/>
  <c r="H38" i="1" s="1"/>
  <c r="I38" i="1" s="1"/>
  <c r="J38" i="1" s="1"/>
  <c r="J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41" authorId="0" shapeId="0" xr:uid="{00000000-0006-0000-0000-000001000000}">
      <text>
        <r>
          <rPr>
            <b/>
            <sz val="8"/>
            <color indexed="8"/>
            <rFont val="Tahoma"/>
            <family val="2"/>
          </rPr>
          <t xml:space="preserve">Luciene Félix:
</t>
        </r>
        <r>
          <rPr>
            <sz val="8"/>
            <color indexed="8"/>
            <rFont val="Tahoma"/>
            <family val="2"/>
          </rPr>
          <t>Para fechamento da planilha de venda tirei neste item 8,96</t>
        </r>
      </text>
    </comment>
  </commentList>
</comments>
</file>

<file path=xl/sharedStrings.xml><?xml version="1.0" encoding="utf-8"?>
<sst xmlns="http://schemas.openxmlformats.org/spreadsheetml/2006/main" count="578" uniqueCount="319">
  <si>
    <t>CRONOGRAMA FÍSICO-FINANCEIRO</t>
  </si>
  <si>
    <t>Obra</t>
  </si>
  <si>
    <t>: Construção de casas geminadas</t>
  </si>
  <si>
    <t>Local</t>
  </si>
  <si>
    <t>: Av. Maurilo de Jesus Peixoto - Lote 011 - Quadra  031 - N. Sra. de Fátima - Sete Lagoas/MG</t>
  </si>
  <si>
    <t>Cliente</t>
  </si>
  <si>
    <t>:  Cida e Jefferson (Luciano)</t>
  </si>
  <si>
    <t>ITEM</t>
  </si>
  <si>
    <t xml:space="preserve"> DISCRIMINAÇÃO </t>
  </si>
  <si>
    <t>Peso     (%)</t>
  </si>
  <si>
    <t>TOTAL</t>
  </si>
  <si>
    <t>PERÍODO (meses)</t>
  </si>
  <si>
    <t>mês 01</t>
  </si>
  <si>
    <t>mês 02</t>
  </si>
  <si>
    <t>mês 03</t>
  </si>
  <si>
    <t>mês 04</t>
  </si>
  <si>
    <t>mês 05</t>
  </si>
  <si>
    <t>mês 06</t>
  </si>
  <si>
    <t>01.</t>
  </si>
  <si>
    <t>SERVIÇOS PRELIMINARES</t>
  </si>
  <si>
    <t>02.</t>
  </si>
  <si>
    <t>FUNDAÇÃO</t>
  </si>
  <si>
    <t>03.</t>
  </si>
  <si>
    <t xml:space="preserve">ESTRUTURA   </t>
  </si>
  <si>
    <t>04.</t>
  </si>
  <si>
    <t>ALVENARIA</t>
  </si>
  <si>
    <t>05.</t>
  </si>
  <si>
    <t xml:space="preserve">COBERTURA   </t>
  </si>
  <si>
    <t>06.</t>
  </si>
  <si>
    <t>REVESTIMENTO</t>
  </si>
  <si>
    <t>07.</t>
  </si>
  <si>
    <t>PAVIMENTAÇÃO</t>
  </si>
  <si>
    <t>08.</t>
  </si>
  <si>
    <t>ESQUADRIAS</t>
  </si>
  <si>
    <t>09.</t>
  </si>
  <si>
    <t>RODAPES, SOLEIRAS E PEITORIS</t>
  </si>
  <si>
    <t>10.</t>
  </si>
  <si>
    <t>PINTURA</t>
  </si>
  <si>
    <t>11.</t>
  </si>
  <si>
    <t>DIVERSOS</t>
  </si>
  <si>
    <t>12.</t>
  </si>
  <si>
    <t>INSTALAÇÕES (Estimadas)</t>
  </si>
  <si>
    <t>13.</t>
  </si>
  <si>
    <t>LIMPEZA GERAL DA OBRA</t>
  </si>
  <si>
    <t>Percentual Simples</t>
  </si>
  <si>
    <t>Percentual Acumulado</t>
  </si>
  <si>
    <t>Valor Simples</t>
  </si>
  <si>
    <t>Valor Acumulado</t>
  </si>
  <si>
    <t>ESPECIFICAÇÃO</t>
  </si>
  <si>
    <t>UNID.</t>
  </si>
  <si>
    <t>PREÇO UNITÁRIO</t>
  </si>
  <si>
    <t>%</t>
  </si>
  <si>
    <t>1.1</t>
  </si>
  <si>
    <t>M2</t>
  </si>
  <si>
    <t>Subtotal do item ---&gt;</t>
  </si>
  <si>
    <t>R$</t>
  </si>
  <si>
    <t>2.1</t>
  </si>
  <si>
    <t>2.2</t>
  </si>
  <si>
    <t>ESQUADRIAS, PORTAS E VIDROS</t>
  </si>
  <si>
    <t>4.1</t>
  </si>
  <si>
    <t>4.2</t>
  </si>
  <si>
    <t>DATA:</t>
  </si>
  <si>
    <t>5.1</t>
  </si>
  <si>
    <t>REVESTIMENTO (Piso, contrapiso e azulejo)</t>
  </si>
  <si>
    <t>6.1</t>
  </si>
  <si>
    <t>6.2</t>
  </si>
  <si>
    <t>7.1</t>
  </si>
  <si>
    <t>7.2</t>
  </si>
  <si>
    <t>7.3</t>
  </si>
  <si>
    <t xml:space="preserve">INSTALAÇÕES (Hidro -Sanitária) </t>
  </si>
  <si>
    <t>8.1</t>
  </si>
  <si>
    <t>8.2</t>
  </si>
  <si>
    <t>8.3</t>
  </si>
  <si>
    <t>M</t>
  </si>
  <si>
    <t>9.1</t>
  </si>
  <si>
    <t>9.2</t>
  </si>
  <si>
    <t>10.1</t>
  </si>
  <si>
    <t>10.2</t>
  </si>
  <si>
    <t>10.3</t>
  </si>
  <si>
    <t>12.1</t>
  </si>
  <si>
    <t xml:space="preserve">PREFEITURA MUNICIPAL DE ATILIO VIVAACQUA </t>
  </si>
  <si>
    <t>PLANILHA DE PREÇOS</t>
  </si>
  <si>
    <t>Escavação manual em material de 1a. categoria, até 1.50 m de profundidade</t>
  </si>
  <si>
    <t>FUNDAÇÃO (ESCAVAÇÃO, CONCRETO AÇO E FORMA)</t>
  </si>
  <si>
    <t>Azulejo branco 15 x 15 cm, juntas a prumo, assentado com argamassa de cimento colante, inclusive rejuntamento com cimento branco, marcas de referência Eliane, Cecrisa ou Portobello</t>
  </si>
  <si>
    <t>5.2</t>
  </si>
  <si>
    <t>5.3</t>
  </si>
  <si>
    <t>SOLEIRAS E RODAPES</t>
  </si>
  <si>
    <t>Ponto padrão de luz no teto - considerando eletroduto PVC rígido de 3/4" inclusive conexões (4.5m), fio isolado PVC de 2.5mm2 (16.2m) e caixa estampada 4x4" (1 und)</t>
  </si>
  <si>
    <t>total</t>
  </si>
  <si>
    <t>1.2</t>
  </si>
  <si>
    <t>1.3</t>
  </si>
  <si>
    <t>REFER,:</t>
  </si>
  <si>
    <t xml:space="preserve">LAJE PRÉ </t>
  </si>
  <si>
    <t>5.4</t>
  </si>
  <si>
    <t>INSTALAÇÕES ELETRICA</t>
  </si>
  <si>
    <t xml:space="preserve">PREFEITO MUNICIPAL </t>
  </si>
  <si>
    <t xml:space="preserve">     JOSÉ LUIZ TORRES LOPES</t>
  </si>
  <si>
    <t xml:space="preserve">ARQUITETO URBANISTA </t>
  </si>
  <si>
    <t xml:space="preserve">                                          ____________________________________________</t>
  </si>
  <si>
    <t>PREFEITURA MUNICIPAL DE ATÍLIO VIVÁQUA / ES</t>
  </si>
  <si>
    <t>DESCRIÇÃO</t>
  </si>
  <si>
    <t>Valores</t>
  </si>
  <si>
    <t>01</t>
  </si>
  <si>
    <t>02</t>
  </si>
  <si>
    <t>03</t>
  </si>
  <si>
    <t>04</t>
  </si>
  <si>
    <t>ESTRUTURAS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</si>
  <si>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</si>
  <si>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</si>
  <si>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</si>
  <si>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</si>
  <si>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</si>
  <si>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</si>
  <si>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</si>
  <si>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</si>
  <si>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</si>
  <si>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TOTAL ACUMULADO (R$)</t>
  </si>
  <si>
    <t>ARQUITETO RESPONSÁVEL:</t>
  </si>
  <si>
    <t>ESQUADRIAS PORTAS E VIDROS</t>
  </si>
  <si>
    <t xml:space="preserve">ALVENARIA DE </t>
  </si>
  <si>
    <t>REVESTIMENTOS PAREDE</t>
  </si>
  <si>
    <t>REVESTIMENTOS PISO CONTRA PISO E AZULEIJO</t>
  </si>
  <si>
    <t>INSTALAÇÕES ELETRICAS</t>
  </si>
  <si>
    <t>INSTALAÇÃO HIDRAULICA</t>
  </si>
  <si>
    <t xml:space="preserve"> LIMPEZA</t>
  </si>
  <si>
    <t xml:space="preserve">LOUÇAS E METAIS </t>
  </si>
  <si>
    <t>LIMPEZA</t>
  </si>
  <si>
    <t xml:space="preserve">CONSTRUÇÃO DE CASA POPULAR </t>
  </si>
  <si>
    <t xml:space="preserve">QUANT. </t>
  </si>
  <si>
    <t>___________________________________</t>
  </si>
  <si>
    <t>CUSTO TOTAL COM BDI 27,64% (R$)</t>
  </si>
  <si>
    <t>Prazo de Execução ( em dias)   -   90DIAS</t>
  </si>
  <si>
    <t xml:space="preserve">             DANIEL AFONSO COSTA SANCHES CAU nº 110084-0</t>
  </si>
  <si>
    <t>LOCAL: LOCALIDADE PECHINCHA/DESERTO FELIZ-ATILIO VIVACQUA - ES</t>
  </si>
  <si>
    <t>CÓDIGO IOPES</t>
  </si>
  <si>
    <t>3.1</t>
  </si>
  <si>
    <t>M3</t>
  </si>
  <si>
    <t>KG</t>
  </si>
  <si>
    <t>9.3</t>
  </si>
  <si>
    <t>11.1</t>
  </si>
  <si>
    <t>11.2</t>
  </si>
  <si>
    <t>JOSEMAR MACHADO FERNANDES</t>
  </si>
  <si>
    <t>MARLON DONATELI FERRAREIS CREA nº ES-052449/D</t>
  </si>
  <si>
    <t xml:space="preserve">ENGENHEIRO CIVIL </t>
  </si>
  <si>
    <t>COBERTURA</t>
  </si>
  <si>
    <t>10.4</t>
  </si>
  <si>
    <t>10.5</t>
  </si>
  <si>
    <t>10.6</t>
  </si>
  <si>
    <t>10.7</t>
  </si>
  <si>
    <t>10.8</t>
  </si>
  <si>
    <t>10.9</t>
  </si>
  <si>
    <t>10.10</t>
  </si>
  <si>
    <t>10.11</t>
  </si>
  <si>
    <t>12.2</t>
  </si>
  <si>
    <t>13.1</t>
  </si>
  <si>
    <t>MEMÓRIA DE CÁLCULO</t>
  </si>
  <si>
    <t>DESRIÇÃO</t>
  </si>
  <si>
    <t>POSIÇÃO</t>
  </si>
  <si>
    <t>QUANTIDADE</t>
  </si>
  <si>
    <t>EXTENÇÃO (M)</t>
  </si>
  <si>
    <t>LARGURA (M)</t>
  </si>
  <si>
    <t>AREA (M²)</t>
  </si>
  <si>
    <t>VOLUME (M³)</t>
  </si>
  <si>
    <t>PT</t>
  </si>
  <si>
    <t>PROF.(M) OU PESO (KG/M)</t>
  </si>
  <si>
    <t>PREÇO SECO</t>
  </si>
  <si>
    <t>PREÇO COM BDI</t>
  </si>
  <si>
    <t>REFERENCIAL IOPES BDI</t>
  </si>
  <si>
    <t>OBRA / SERVIÇO : AMPLIAÇÃO DA SECRETÁRIA MUNICIPAL DE SAÚDE.</t>
  </si>
  <si>
    <t>LOCAL: PRAÇA JOSÉ VALENTIM LOPES - BAIRRO CENTRO - ATILIO VIVACQUA - ES</t>
  </si>
  <si>
    <t>SUPER-ESTRUTURA</t>
  </si>
  <si>
    <t>3.2</t>
  </si>
  <si>
    <t>SINAPI 98562</t>
  </si>
  <si>
    <t>INFRA-ESTRUTURA / FUNDAÇÃO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</si>
  <si>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</si>
  <si>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</si>
  <si>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</si>
  <si>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</si>
  <si>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</si>
  <si>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</si>
  <si>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</si>
  <si>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</si>
  <si>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</si>
  <si>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</si>
  <si>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2.2.1</t>
  </si>
  <si>
    <t>2.2.2</t>
  </si>
  <si>
    <t>2.2.3</t>
  </si>
  <si>
    <t>2.2.4</t>
  </si>
  <si>
    <t>4.3</t>
  </si>
  <si>
    <t>4.4</t>
  </si>
  <si>
    <t>UND</t>
  </si>
  <si>
    <t>SINAPI 4969</t>
  </si>
  <si>
    <t>REVESTIMENTOS TETO / FORRO</t>
  </si>
  <si>
    <t>SOLEIRAS, RODAPES E PEITORIS</t>
  </si>
  <si>
    <t>2.2.5</t>
  </si>
  <si>
    <t>4.5</t>
  </si>
  <si>
    <t>4.6</t>
  </si>
  <si>
    <t>4.7</t>
  </si>
  <si>
    <t>4.8</t>
  </si>
  <si>
    <t>4.9</t>
  </si>
  <si>
    <t>11.3</t>
  </si>
  <si>
    <t>11.4</t>
  </si>
  <si>
    <t>11.5</t>
  </si>
  <si>
    <t>11.6</t>
  </si>
  <si>
    <t>11.7</t>
  </si>
  <si>
    <t>11.8</t>
  </si>
  <si>
    <t>13.2</t>
  </si>
  <si>
    <t>13.3</t>
  </si>
  <si>
    <t>13.4</t>
  </si>
  <si>
    <t>13.5</t>
  </si>
  <si>
    <t>13.6</t>
  </si>
  <si>
    <t>14.1</t>
  </si>
  <si>
    <t>APARELHOS HIDRO-SANITÁRIOS</t>
  </si>
  <si>
    <t>12.3</t>
  </si>
  <si>
    <t>12.4</t>
  </si>
  <si>
    <t>12.5</t>
  </si>
  <si>
    <t>12.6</t>
  </si>
  <si>
    <t>12.7</t>
  </si>
  <si>
    <t>12.8</t>
  </si>
  <si>
    <t>12.9</t>
  </si>
  <si>
    <t>APARELHOS ELÉTRICOS</t>
  </si>
  <si>
    <t>SINAPI 43194</t>
  </si>
  <si>
    <t>SINAPI 43190</t>
  </si>
  <si>
    <t>SERVIÇOS COMPLEMENTARES</t>
  </si>
  <si>
    <t>14.2</t>
  </si>
  <si>
    <t>15.1</t>
  </si>
  <si>
    <t>16.1</t>
  </si>
  <si>
    <t>15.2</t>
  </si>
  <si>
    <t>VALOR TOTAL DA OBRA / SERVIÇO</t>
  </si>
  <si>
    <t>VALOR POR M² =&gt;</t>
  </si>
  <si>
    <t>__________________________________________</t>
  </si>
  <si>
    <t>5.5</t>
  </si>
  <si>
    <t>SAPATA</t>
  </si>
  <si>
    <t>BALDRAME</t>
  </si>
  <si>
    <t>COLUNA</t>
  </si>
  <si>
    <t>COMPRIMENTO DAS PAREDES</t>
  </si>
  <si>
    <t xml:space="preserve">L = </t>
  </si>
  <si>
    <t>RECEPÇÃO</t>
  </si>
  <si>
    <t>CIRCULAÇÃO 1</t>
  </si>
  <si>
    <t>CIRCULAÇÃO 2</t>
  </si>
  <si>
    <t>PNE FEM.</t>
  </si>
  <si>
    <t>PNE MASC.</t>
  </si>
  <si>
    <t>ELEVADOR</t>
  </si>
  <si>
    <t>VIG. SANITÁRIA</t>
  </si>
  <si>
    <t>TRANSPORTE</t>
  </si>
  <si>
    <t>VIG. AMBIENTAL</t>
  </si>
  <si>
    <t>ALMOXARIFADO</t>
  </si>
  <si>
    <t>PESCOSO SAP.</t>
  </si>
  <si>
    <t>BASE QUADRADA</t>
  </si>
  <si>
    <t>PILAR 1º PAV.</t>
  </si>
  <si>
    <t>VIGAS 1º PAV.</t>
  </si>
  <si>
    <t>PNE UNISSEX</t>
  </si>
  <si>
    <t>RECEPÇÃO 2</t>
  </si>
  <si>
    <t>SALA INFORMAT.</t>
  </si>
  <si>
    <t>CIRCULAÇÃO 3</t>
  </si>
  <si>
    <t>GER. DE PROGRAMA</t>
  </si>
  <si>
    <t>GER. S. BUCAL</t>
  </si>
  <si>
    <t>GER. ESF</t>
  </si>
  <si>
    <t>GER. S. MULHER</t>
  </si>
  <si>
    <t>GER. S. MENTAL</t>
  </si>
  <si>
    <t>TERREO</t>
  </si>
  <si>
    <t>1º PAV.</t>
  </si>
  <si>
    <t>PILAR TERREO.</t>
  </si>
  <si>
    <t>VIGAS TERREO</t>
  </si>
  <si>
    <t>PORTA 80</t>
  </si>
  <si>
    <t>PORTA 90</t>
  </si>
  <si>
    <t>PORTA 2,60</t>
  </si>
  <si>
    <t>JANELA 115 X 110</t>
  </si>
  <si>
    <t>JANELA 120 X 110</t>
  </si>
  <si>
    <t>JANELA 150 X 110</t>
  </si>
  <si>
    <t>JANELA 200 X 0,80</t>
  </si>
  <si>
    <t>BASCULA 55 X 110</t>
  </si>
  <si>
    <t>BASCULA 60 X 60</t>
  </si>
  <si>
    <t>PLATIBANDA</t>
  </si>
  <si>
    <t>VÃOS A DESCONTAR</t>
  </si>
  <si>
    <t>PORTAS</t>
  </si>
  <si>
    <t>BASCULAS</t>
  </si>
  <si>
    <t>PNE MAS.</t>
  </si>
  <si>
    <t>VIG. SANITARIA</t>
  </si>
  <si>
    <t>SALA INFORMAT</t>
  </si>
  <si>
    <t>GER. PROGRAMA</t>
  </si>
  <si>
    <t>GER. BUCAL</t>
  </si>
  <si>
    <t>GER. MULHER</t>
  </si>
  <si>
    <t>GER. MENTAL</t>
  </si>
  <si>
    <t>GER ESF</t>
  </si>
  <si>
    <t>PNE. FEM.</t>
  </si>
  <si>
    <t>11.9</t>
  </si>
  <si>
    <t>150302</t>
  </si>
  <si>
    <t>150306</t>
  </si>
  <si>
    <t>5.6</t>
  </si>
  <si>
    <t>PERFIL METALICO "U" 200 X 50 X 3,8MM</t>
  </si>
  <si>
    <t>PERFIL "U" ENRIJECIDO 200 X 75 X 25 X 2,65MM (7,92KG/M)</t>
  </si>
  <si>
    <t>2.2.6</t>
  </si>
  <si>
    <t>LAJE 1</t>
  </si>
  <si>
    <t>LAJE 2</t>
  </si>
  <si>
    <t>LAJE 3</t>
  </si>
  <si>
    <t>LAJE 4</t>
  </si>
  <si>
    <t>LAJE 5</t>
  </si>
  <si>
    <t>LAJE 6</t>
  </si>
  <si>
    <t>LAJE 7</t>
  </si>
  <si>
    <t>LAJE 8</t>
  </si>
  <si>
    <t>LAJE 9</t>
  </si>
  <si>
    <t>LAJE 10</t>
  </si>
  <si>
    <t>LAJE 11</t>
  </si>
  <si>
    <t>LAJE 12</t>
  </si>
  <si>
    <t>LAJE 13</t>
  </si>
  <si>
    <t>LAJE 14</t>
  </si>
  <si>
    <t>LAJE 15</t>
  </si>
  <si>
    <t>LAJE 16</t>
  </si>
  <si>
    <t>LAJE 17</t>
  </si>
  <si>
    <t>LAJE 18</t>
  </si>
  <si>
    <t>LAJE 19</t>
  </si>
  <si>
    <t>LAJE 20</t>
  </si>
  <si>
    <t>LAJE 21</t>
  </si>
  <si>
    <t>LAJE 22</t>
  </si>
  <si>
    <t>Fornecimento e aplicação de concreto USINADO Fck=20 MPa - considerando BOMBEAMENTO (5% de perdas já incluído no custo) (6% de taxa p/concr.bombeavel)</t>
  </si>
  <si>
    <t>LAJES</t>
  </si>
  <si>
    <t>PILARES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</si>
</sst>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* #,##0.0000_);_(* \(#,##0.0000\);_(* \-??_);_(@_)"/>
    <numFmt numFmtId="166" formatCode="_-[$R$-416]\ * #,##0.00_-;\-[$R$-416]\ * #,##0.00_-;_-[$R$-416]\ * \-??_-;_-@_-"/>
    <numFmt numFmtId="167" formatCode="[$-416]mmmm\-yy;@"/>
    <numFmt numFmtId="168" formatCode="_-[$R$-416]\ * #,##0.00_-;\-[$R$-416]\ * #,##0.00_-;_-[$R$-416]\ * &quot;-&quot;??_-;_-@_-"/>
    <numFmt numFmtId="169" formatCode="0.0%"/>
    <numFmt numFmtId="170" formatCode="&quot;R$&quot;\ #,##0.00"/>
  </numFmts>
  <fonts count="35" x14ac:knownFonts="1">
    <font>
      <sz val="10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10"/>
      <name val="Century Gothic"/>
      <family val="2"/>
    </font>
    <font>
      <b/>
      <sz val="9"/>
      <name val="Tahoma"/>
      <family val="2"/>
    </font>
    <font>
      <b/>
      <sz val="10"/>
      <color indexed="1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 Narrow"/>
      <family val="2"/>
    </font>
    <font>
      <sz val="16"/>
      <name val="Arial"/>
      <family val="2"/>
    </font>
    <font>
      <sz val="18"/>
      <name val="Arial"/>
      <family val="2"/>
    </font>
    <font>
      <sz val="11"/>
      <name val="Verdana"/>
      <family val="2"/>
    </font>
    <font>
      <b/>
      <sz val="9"/>
      <name val="Arial"/>
      <family val="2"/>
    </font>
    <font>
      <sz val="11"/>
      <color rgb="FF000000"/>
      <name val="Verdana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19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2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0" fontId="14" fillId="0" borderId="0" applyNumberFormat="0" applyFill="0" applyBorder="0" applyAlignment="0" applyProtection="0"/>
    <xf numFmtId="164" fontId="14" fillId="0" borderId="0" applyFill="0" applyBorder="0" applyAlignment="0" applyProtection="0"/>
    <xf numFmtId="0" fontId="14" fillId="0" borderId="0" applyNumberFormat="0" applyFill="0" applyBorder="0" applyAlignment="0" applyProtection="0"/>
  </cellStyleXfs>
  <cellXfs count="45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164" fontId="1" fillId="0" borderId="0" xfId="8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Border="1"/>
    <xf numFmtId="0" fontId="1" fillId="0" borderId="2" xfId="0" applyFont="1" applyBorder="1" applyAlignment="1"/>
    <xf numFmtId="164" fontId="1" fillId="0" borderId="2" xfId="8" applyFont="1" applyFill="1" applyBorder="1" applyAlignment="1" applyProtection="1"/>
    <xf numFmtId="164" fontId="1" fillId="0" borderId="3" xfId="8" applyFont="1" applyFill="1" applyBorder="1" applyAlignment="1" applyProtection="1"/>
    <xf numFmtId="0" fontId="1" fillId="0" borderId="0" xfId="0" applyFont="1" applyBorder="1" applyAlignment="1">
      <alignment horizontal="justify"/>
    </xf>
    <xf numFmtId="164" fontId="1" fillId="0" borderId="4" xfId="8" applyFont="1" applyFill="1" applyBorder="1" applyAlignment="1" applyProtection="1"/>
    <xf numFmtId="0" fontId="1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top"/>
    </xf>
    <xf numFmtId="0" fontId="3" fillId="0" borderId="6" xfId="0" applyFont="1" applyBorder="1" applyAlignment="1">
      <alignment horizontal="justify" vertical="top"/>
    </xf>
    <xf numFmtId="0" fontId="3" fillId="0" borderId="6" xfId="0" applyFont="1" applyBorder="1" applyAlignment="1">
      <alignment horizontal="right" vertical="center"/>
    </xf>
    <xf numFmtId="164" fontId="1" fillId="0" borderId="6" xfId="8" applyFont="1" applyFill="1" applyBorder="1" applyAlignment="1" applyProtection="1">
      <alignment horizontal="right" vertical="top"/>
    </xf>
    <xf numFmtId="14" fontId="1" fillId="0" borderId="6" xfId="8" applyNumberFormat="1" applyFont="1" applyFill="1" applyBorder="1" applyAlignment="1" applyProtection="1">
      <alignment horizontal="center" vertical="top"/>
    </xf>
    <xf numFmtId="14" fontId="1" fillId="0" borderId="7" xfId="8" applyNumberFormat="1" applyFont="1" applyFill="1" applyBorder="1" applyAlignment="1" applyProtection="1">
      <alignment horizontal="center" vertical="top"/>
    </xf>
    <xf numFmtId="4" fontId="1" fillId="0" borderId="0" xfId="0" applyNumberFormat="1" applyFont="1" applyBorder="1"/>
    <xf numFmtId="164" fontId="3" fillId="2" borderId="8" xfId="8" applyFont="1" applyFill="1" applyBorder="1" applyAlignment="1" applyProtection="1">
      <alignment horizontal="center" vertical="center"/>
    </xf>
    <xf numFmtId="165" fontId="6" fillId="0" borderId="0" xfId="8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Border="1"/>
    <xf numFmtId="9" fontId="1" fillId="0" borderId="9" xfId="6" applyFont="1" applyFill="1" applyBorder="1" applyAlignment="1" applyProtection="1">
      <alignment horizontal="center" vertical="center"/>
    </xf>
    <xf numFmtId="9" fontId="1" fillId="0" borderId="10" xfId="6" applyFont="1" applyFill="1" applyBorder="1" applyAlignment="1" applyProtection="1">
      <alignment horizontal="center" vertical="center"/>
    </xf>
    <xf numFmtId="10" fontId="6" fillId="0" borderId="0" xfId="6" applyNumberFormat="1" applyFont="1" applyFill="1" applyBorder="1" applyAlignment="1" applyProtection="1">
      <alignment horizontal="center" vertical="center"/>
    </xf>
    <xf numFmtId="164" fontId="1" fillId="0" borderId="11" xfId="8" applyFont="1" applyFill="1" applyBorder="1" applyAlignment="1" applyProtection="1"/>
    <xf numFmtId="10" fontId="1" fillId="0" borderId="9" xfId="6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justify" vertical="center"/>
    </xf>
    <xf numFmtId="10" fontId="1" fillId="0" borderId="0" xfId="6" applyNumberFormat="1" applyFont="1" applyFill="1" applyBorder="1" applyAlignment="1" applyProtection="1">
      <alignment horizontal="right" vertical="center"/>
    </xf>
    <xf numFmtId="164" fontId="1" fillId="0" borderId="0" xfId="8" applyFont="1" applyFill="1" applyBorder="1" applyAlignment="1" applyProtection="1">
      <alignment vertical="center"/>
    </xf>
    <xf numFmtId="49" fontId="1" fillId="0" borderId="8" xfId="0" applyNumberFormat="1" applyFont="1" applyBorder="1" applyAlignment="1">
      <alignment vertical="top"/>
    </xf>
    <xf numFmtId="0" fontId="3" fillId="0" borderId="8" xfId="0" applyFont="1" applyBorder="1" applyAlignment="1">
      <alignment horizontal="justify"/>
    </xf>
    <xf numFmtId="10" fontId="3" fillId="0" borderId="8" xfId="0" applyNumberFormat="1" applyFont="1" applyFill="1" applyBorder="1" applyAlignment="1">
      <alignment horizontal="right"/>
    </xf>
    <xf numFmtId="164" fontId="1" fillId="0" borderId="8" xfId="8" applyFont="1" applyFill="1" applyBorder="1" applyAlignment="1" applyProtection="1"/>
    <xf numFmtId="10" fontId="3" fillId="0" borderId="8" xfId="6" applyNumberFormat="1" applyFont="1" applyFill="1" applyBorder="1" applyAlignment="1" applyProtection="1"/>
    <xf numFmtId="0" fontId="1" fillId="0" borderId="8" xfId="0" applyFont="1" applyFill="1" applyBorder="1" applyAlignment="1">
      <alignment horizontal="right"/>
    </xf>
    <xf numFmtId="10" fontId="3" fillId="0" borderId="8" xfId="8" applyNumberFormat="1" applyFont="1" applyFill="1" applyBorder="1" applyAlignment="1" applyProtection="1"/>
    <xf numFmtId="164" fontId="3" fillId="0" borderId="8" xfId="8" applyFont="1" applyFill="1" applyBorder="1" applyAlignment="1" applyProtection="1"/>
    <xf numFmtId="49" fontId="1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justify"/>
    </xf>
    <xf numFmtId="0" fontId="1" fillId="0" borderId="0" xfId="0" applyFont="1" applyFill="1" applyBorder="1" applyAlignment="1">
      <alignment horizontal="right"/>
    </xf>
    <xf numFmtId="164" fontId="3" fillId="0" borderId="0" xfId="8" applyFont="1" applyFill="1" applyBorder="1" applyAlignment="1" applyProtection="1"/>
    <xf numFmtId="164" fontId="3" fillId="0" borderId="4" xfId="8" applyFont="1" applyFill="1" applyBorder="1" applyAlignment="1" applyProtection="1"/>
    <xf numFmtId="164" fontId="1" fillId="0" borderId="0" xfId="8" applyFont="1" applyFill="1" applyBorder="1" applyAlignment="1" applyProtection="1">
      <alignment horizontal="right"/>
    </xf>
    <xf numFmtId="0" fontId="0" fillId="0" borderId="0" xfId="0" applyFont="1"/>
    <xf numFmtId="0" fontId="10" fillId="3" borderId="0" xfId="4" applyFont="1" applyFill="1" applyBorder="1"/>
    <xf numFmtId="0" fontId="10" fillId="3" borderId="0" xfId="0" applyFont="1" applyFill="1" applyBorder="1" applyAlignment="1" applyProtection="1">
      <alignment horizontal="center" wrapText="1"/>
    </xf>
    <xf numFmtId="166" fontId="10" fillId="0" borderId="0" xfId="0" applyNumberFormat="1" applyFont="1"/>
    <xf numFmtId="0" fontId="10" fillId="0" borderId="0" xfId="0" applyFont="1"/>
    <xf numFmtId="0" fontId="10" fillId="0" borderId="0" xfId="0" applyFont="1" applyFill="1"/>
    <xf numFmtId="0" fontId="9" fillId="0" borderId="0" xfId="0" applyFont="1" applyFill="1"/>
    <xf numFmtId="0" fontId="0" fillId="0" borderId="0" xfId="0" applyFont="1" applyBorder="1"/>
    <xf numFmtId="0" fontId="9" fillId="0" borderId="0" xfId="0" applyFont="1"/>
    <xf numFmtId="0" fontId="9" fillId="3" borderId="0" xfId="0" applyFont="1" applyFill="1"/>
    <xf numFmtId="0" fontId="9" fillId="0" borderId="0" xfId="0" applyFont="1" applyAlignment="1">
      <alignment horizontal="center" vertical="center"/>
    </xf>
    <xf numFmtId="0" fontId="16" fillId="4" borderId="12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49" fontId="16" fillId="4" borderId="12" xfId="0" applyNumberFormat="1" applyFont="1" applyFill="1" applyBorder="1" applyAlignment="1">
      <alignment horizontal="center"/>
    </xf>
    <xf numFmtId="166" fontId="16" fillId="4" borderId="12" xfId="1" applyNumberFormat="1" applyFont="1" applyFill="1" applyBorder="1" applyAlignment="1" applyProtection="1"/>
    <xf numFmtId="0" fontId="16" fillId="4" borderId="0" xfId="0" applyFont="1" applyFill="1"/>
    <xf numFmtId="0" fontId="16" fillId="0" borderId="13" xfId="0" applyFont="1" applyBorder="1" applyAlignment="1">
      <alignment horizontal="center" vertical="center"/>
    </xf>
    <xf numFmtId="166" fontId="16" fillId="3" borderId="13" xfId="1" applyNumberFormat="1" applyFont="1" applyFill="1" applyBorder="1" applyAlignment="1" applyProtection="1"/>
    <xf numFmtId="166" fontId="16" fillId="0" borderId="0" xfId="0" applyNumberFormat="1" applyFont="1"/>
    <xf numFmtId="0" fontId="16" fillId="0" borderId="0" xfId="0" applyFont="1"/>
    <xf numFmtId="0" fontId="24" fillId="0" borderId="13" xfId="0" applyFont="1" applyBorder="1"/>
    <xf numFmtId="49" fontId="16" fillId="0" borderId="13" xfId="0" applyNumberFormat="1" applyFont="1" applyFill="1" applyBorder="1" applyAlignment="1">
      <alignment horizontal="center"/>
    </xf>
    <xf numFmtId="164" fontId="16" fillId="0" borderId="13" xfId="9" applyNumberFormat="1" applyFont="1" applyFill="1" applyBorder="1" applyAlignment="1" applyProtection="1">
      <alignment horizontal="right"/>
    </xf>
    <xf numFmtId="0" fontId="16" fillId="4" borderId="13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wrapText="1"/>
    </xf>
    <xf numFmtId="49" fontId="16" fillId="4" borderId="13" xfId="0" applyNumberFormat="1" applyFont="1" applyFill="1" applyBorder="1" applyAlignment="1">
      <alignment horizontal="center"/>
    </xf>
    <xf numFmtId="166" fontId="16" fillId="4" borderId="13" xfId="1" applyNumberFormat="1" applyFont="1" applyFill="1" applyBorder="1" applyAlignment="1" applyProtection="1"/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/>
    <xf numFmtId="0" fontId="24" fillId="0" borderId="13" xfId="0" applyFont="1" applyBorder="1" applyAlignment="1">
      <alignment wrapText="1"/>
    </xf>
    <xf numFmtId="0" fontId="15" fillId="3" borderId="14" xfId="4" applyFont="1" applyFill="1" applyBorder="1" applyAlignment="1"/>
    <xf numFmtId="0" fontId="15" fillId="3" borderId="0" xfId="4" applyFont="1" applyFill="1" applyBorder="1" applyAlignment="1"/>
    <xf numFmtId="0" fontId="16" fillId="3" borderId="15" xfId="0" applyFont="1" applyFill="1" applyBorder="1"/>
    <xf numFmtId="164" fontId="16" fillId="3" borderId="15" xfId="9" applyNumberFormat="1" applyFont="1" applyFill="1" applyBorder="1" applyAlignment="1" applyProtection="1"/>
    <xf numFmtId="0" fontId="15" fillId="3" borderId="16" xfId="4" applyFont="1" applyFill="1" applyBorder="1" applyAlignment="1"/>
    <xf numFmtId="0" fontId="16" fillId="3" borderId="16" xfId="0" applyFont="1" applyFill="1" applyBorder="1"/>
    <xf numFmtId="0" fontId="19" fillId="3" borderId="18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right" wrapText="1"/>
    </xf>
    <xf numFmtId="49" fontId="15" fillId="5" borderId="13" xfId="0" applyNumberFormat="1" applyFont="1" applyFill="1" applyBorder="1" applyAlignment="1">
      <alignment horizontal="center"/>
    </xf>
    <xf numFmtId="166" fontId="16" fillId="5" borderId="13" xfId="1" applyNumberFormat="1" applyFont="1" applyFill="1" applyBorder="1" applyAlignment="1" applyProtection="1"/>
    <xf numFmtId="166" fontId="16" fillId="0" borderId="13" xfId="1" applyNumberFormat="1" applyFont="1" applyFill="1" applyBorder="1" applyAlignment="1" applyProtection="1"/>
    <xf numFmtId="0" fontId="15" fillId="0" borderId="13" xfId="0" applyFont="1" applyFill="1" applyBorder="1" applyAlignment="1">
      <alignment wrapText="1"/>
    </xf>
    <xf numFmtId="49" fontId="15" fillId="0" borderId="13" xfId="0" applyNumberFormat="1" applyFont="1" applyFill="1" applyBorder="1" applyAlignment="1">
      <alignment horizontal="center"/>
    </xf>
    <xf numFmtId="49" fontId="16" fillId="5" borderId="13" xfId="0" applyNumberFormat="1" applyFont="1" applyFill="1" applyBorder="1" applyAlignment="1">
      <alignment horizontal="center"/>
    </xf>
    <xf numFmtId="49" fontId="15" fillId="4" borderId="13" xfId="0" applyNumberFormat="1" applyFont="1" applyFill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0" fontId="16" fillId="0" borderId="13" xfId="0" applyFont="1" applyBorder="1" applyAlignment="1">
      <alignment horizontal="left" vertical="center" wrapText="1"/>
    </xf>
    <xf numFmtId="164" fontId="16" fillId="3" borderId="0" xfId="9" applyNumberFormat="1" applyFont="1" applyFill="1" applyBorder="1" applyAlignment="1" applyProtection="1"/>
    <xf numFmtId="0" fontId="16" fillId="0" borderId="0" xfId="9" applyNumberFormat="1" applyFont="1" applyFill="1" applyBorder="1" applyAlignment="1" applyProtection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4" fontId="16" fillId="0" borderId="0" xfId="0" applyNumberFormat="1" applyFont="1" applyBorder="1"/>
    <xf numFmtId="0" fontId="18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14" fontId="16" fillId="0" borderId="0" xfId="0" applyNumberFormat="1" applyFont="1"/>
    <xf numFmtId="166" fontId="16" fillId="4" borderId="0" xfId="0" applyNumberFormat="1" applyFont="1" applyFill="1"/>
    <xf numFmtId="166" fontId="10" fillId="0" borderId="0" xfId="0" applyNumberFormat="1" applyFont="1" applyFill="1"/>
    <xf numFmtId="166" fontId="9" fillId="0" borderId="0" xfId="0" applyNumberFormat="1" applyFont="1" applyFill="1"/>
    <xf numFmtId="166" fontId="9" fillId="0" borderId="0" xfId="0" applyNumberFormat="1" applyFont="1"/>
    <xf numFmtId="168" fontId="9" fillId="3" borderId="0" xfId="0" applyNumberFormat="1" applyFont="1" applyFill="1"/>
    <xf numFmtId="0" fontId="24" fillId="8" borderId="13" xfId="0" applyFont="1" applyFill="1" applyBorder="1" applyAlignment="1">
      <alignment wrapText="1"/>
    </xf>
    <xf numFmtId="166" fontId="10" fillId="9" borderId="0" xfId="0" applyNumberFormat="1" applyFont="1" applyFill="1"/>
    <xf numFmtId="0" fontId="24" fillId="0" borderId="13" xfId="0" applyFont="1" applyFill="1" applyBorder="1" applyAlignment="1">
      <alignment wrapText="1"/>
    </xf>
    <xf numFmtId="0" fontId="22" fillId="0" borderId="13" xfId="0" applyFont="1" applyFill="1" applyBorder="1" applyAlignment="1">
      <alignment wrapText="1"/>
    </xf>
    <xf numFmtId="0" fontId="16" fillId="0" borderId="13" xfId="0" applyFont="1" applyFill="1" applyBorder="1" applyAlignment="1">
      <alignment horizontal="center" vertical="center" wrapText="1"/>
    </xf>
    <xf numFmtId="0" fontId="15" fillId="3" borderId="19" xfId="4" applyFont="1" applyFill="1" applyBorder="1" applyAlignment="1"/>
    <xf numFmtId="0" fontId="15" fillId="3" borderId="20" xfId="4" applyFont="1" applyFill="1" applyBorder="1" applyAlignment="1"/>
    <xf numFmtId="0" fontId="16" fillId="3" borderId="21" xfId="4" applyFont="1" applyFill="1" applyBorder="1"/>
    <xf numFmtId="164" fontId="16" fillId="3" borderId="22" xfId="9" applyNumberFormat="1" applyFont="1" applyFill="1" applyBorder="1" applyAlignment="1" applyProtection="1"/>
    <xf numFmtId="0" fontId="16" fillId="3" borderId="23" xfId="4" applyFont="1" applyFill="1" applyBorder="1"/>
    <xf numFmtId="164" fontId="16" fillId="3" borderId="24" xfId="9" applyNumberFormat="1" applyFont="1" applyFill="1" applyBorder="1" applyAlignment="1" applyProtection="1"/>
    <xf numFmtId="0" fontId="19" fillId="3" borderId="25" xfId="0" applyFont="1" applyFill="1" applyBorder="1" applyAlignment="1" applyProtection="1">
      <alignment horizontal="center" vertical="center" wrapText="1"/>
    </xf>
    <xf numFmtId="0" fontId="15" fillId="4" borderId="26" xfId="0" applyFont="1" applyFill="1" applyBorder="1" applyAlignment="1">
      <alignment horizontal="center" vertical="center"/>
    </xf>
    <xf numFmtId="166" fontId="16" fillId="4" borderId="27" xfId="1" applyNumberFormat="1" applyFont="1" applyFill="1" applyBorder="1" applyAlignment="1" applyProtection="1"/>
    <xf numFmtId="0" fontId="16" fillId="0" borderId="28" xfId="0" applyFont="1" applyBorder="1" applyAlignment="1">
      <alignment horizontal="center" vertical="center"/>
    </xf>
    <xf numFmtId="166" fontId="16" fillId="3" borderId="29" xfId="1" applyNumberFormat="1" applyFont="1" applyFill="1" applyBorder="1" applyAlignment="1" applyProtection="1"/>
    <xf numFmtId="0" fontId="16" fillId="5" borderId="28" xfId="0" applyFont="1" applyFill="1" applyBorder="1" applyAlignment="1">
      <alignment horizontal="center" vertical="center"/>
    </xf>
    <xf numFmtId="166" fontId="16" fillId="5" borderId="29" xfId="1" applyNumberFormat="1" applyFont="1" applyFill="1" applyBorder="1" applyAlignment="1" applyProtection="1">
      <alignment horizontal="right"/>
    </xf>
    <xf numFmtId="166" fontId="16" fillId="0" borderId="29" xfId="1" applyNumberFormat="1" applyFont="1" applyFill="1" applyBorder="1" applyAlignment="1" applyProtection="1"/>
    <xf numFmtId="0" fontId="15" fillId="4" borderId="28" xfId="0" applyFont="1" applyFill="1" applyBorder="1" applyAlignment="1">
      <alignment horizontal="center" vertical="center"/>
    </xf>
    <xf numFmtId="166" fontId="16" fillId="4" borderId="29" xfId="1" applyNumberFormat="1" applyFont="1" applyFill="1" applyBorder="1" applyAlignment="1" applyProtection="1"/>
    <xf numFmtId="0" fontId="16" fillId="0" borderId="28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166" fontId="16" fillId="5" borderId="29" xfId="1" applyNumberFormat="1" applyFont="1" applyFill="1" applyBorder="1" applyAlignment="1" applyProtection="1"/>
    <xf numFmtId="0" fontId="16" fillId="3" borderId="32" xfId="0" applyFont="1" applyFill="1" applyBorder="1" applyAlignment="1">
      <alignment horizontal="center"/>
    </xf>
    <xf numFmtId="0" fontId="16" fillId="0" borderId="33" xfId="0" applyFont="1" applyBorder="1"/>
    <xf numFmtId="0" fontId="16" fillId="0" borderId="34" xfId="0" applyFont="1" applyBorder="1"/>
    <xf numFmtId="0" fontId="16" fillId="3" borderId="35" xfId="0" applyFont="1" applyFill="1" applyBorder="1" applyAlignment="1">
      <alignment vertical="top"/>
    </xf>
    <xf numFmtId="0" fontId="16" fillId="3" borderId="16" xfId="0" applyFont="1" applyFill="1" applyBorder="1" applyAlignment="1">
      <alignment vertical="top"/>
    </xf>
    <xf numFmtId="0" fontId="20" fillId="3" borderId="21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164" fontId="16" fillId="3" borderId="36" xfId="9" applyNumberFormat="1" applyFont="1" applyFill="1" applyBorder="1" applyAlignment="1" applyProtection="1"/>
    <xf numFmtId="164" fontId="16" fillId="3" borderId="31" xfId="9" applyNumberFormat="1" applyFont="1" applyFill="1" applyBorder="1" applyAlignment="1" applyProtection="1"/>
    <xf numFmtId="0" fontId="14" fillId="8" borderId="0" xfId="3" applyFont="1" applyFill="1" applyBorder="1" applyAlignment="1">
      <alignment horizontal="center"/>
    </xf>
    <xf numFmtId="0" fontId="10" fillId="8" borderId="0" xfId="3" applyFont="1" applyFill="1" applyBorder="1" applyAlignment="1">
      <alignment horizontal="center"/>
    </xf>
    <xf numFmtId="0" fontId="14" fillId="8" borderId="0" xfId="3" applyFill="1" applyBorder="1"/>
    <xf numFmtId="0" fontId="14" fillId="8" borderId="37" xfId="3" applyFill="1" applyBorder="1"/>
    <xf numFmtId="0" fontId="11" fillId="8" borderId="38" xfId="3" applyFont="1" applyFill="1" applyBorder="1" applyAlignment="1">
      <alignment horizontal="center"/>
    </xf>
    <xf numFmtId="0" fontId="11" fillId="8" borderId="39" xfId="3" applyFont="1" applyFill="1" applyBorder="1" applyAlignment="1">
      <alignment horizontal="center"/>
    </xf>
    <xf numFmtId="0" fontId="11" fillId="8" borderId="17" xfId="3" applyFont="1" applyFill="1" applyBorder="1" applyAlignment="1">
      <alignment horizontal="center"/>
    </xf>
    <xf numFmtId="0" fontId="11" fillId="8" borderId="40" xfId="3" applyFont="1" applyFill="1" applyBorder="1" applyAlignment="1">
      <alignment horizontal="center"/>
    </xf>
    <xf numFmtId="0" fontId="11" fillId="6" borderId="15" xfId="3" applyFont="1" applyFill="1" applyBorder="1" applyAlignment="1">
      <alignment horizontal="center"/>
    </xf>
    <xf numFmtId="0" fontId="11" fillId="6" borderId="41" xfId="3" applyFont="1" applyFill="1" applyBorder="1" applyAlignment="1">
      <alignment horizontal="center"/>
    </xf>
    <xf numFmtId="44" fontId="12" fillId="0" borderId="42" xfId="1" applyNumberFormat="1" applyFont="1" applyFill="1" applyBorder="1" applyAlignment="1" applyProtection="1">
      <alignment horizontal="center" vertical="center"/>
    </xf>
    <xf numFmtId="164" fontId="12" fillId="0" borderId="43" xfId="7" applyNumberFormat="1" applyFont="1" applyFill="1" applyBorder="1" applyAlignment="1" applyProtection="1">
      <alignment horizontal="center" vertical="center"/>
    </xf>
    <xf numFmtId="0" fontId="23" fillId="6" borderId="44" xfId="3" applyFont="1" applyFill="1" applyBorder="1" applyAlignment="1">
      <alignment horizontal="center" vertical="center"/>
    </xf>
    <xf numFmtId="0" fontId="23" fillId="0" borderId="45" xfId="3" applyFont="1" applyFill="1" applyBorder="1" applyAlignment="1">
      <alignment horizontal="center" vertical="center"/>
    </xf>
    <xf numFmtId="10" fontId="12" fillId="0" borderId="46" xfId="5" applyNumberFormat="1" applyFont="1" applyFill="1" applyBorder="1" applyAlignment="1" applyProtection="1">
      <alignment horizontal="center" vertical="center"/>
    </xf>
    <xf numFmtId="10" fontId="12" fillId="0" borderId="47" xfId="5" applyNumberFormat="1" applyFont="1" applyFill="1" applyBorder="1" applyAlignment="1" applyProtection="1">
      <alignment horizontal="center" vertical="center"/>
    </xf>
    <xf numFmtId="44" fontId="12" fillId="0" borderId="48" xfId="1" applyNumberFormat="1" applyFont="1" applyFill="1" applyBorder="1" applyAlignment="1" applyProtection="1">
      <alignment horizontal="center" vertical="center"/>
    </xf>
    <xf numFmtId="164" fontId="12" fillId="0" borderId="49" xfId="7" applyNumberFormat="1" applyFont="1" applyFill="1" applyBorder="1" applyAlignment="1" applyProtection="1">
      <alignment horizontal="center" vertical="center"/>
    </xf>
    <xf numFmtId="0" fontId="23" fillId="6" borderId="45" xfId="3" applyFont="1" applyFill="1" applyBorder="1" applyAlignment="1">
      <alignment horizontal="center" vertical="center"/>
    </xf>
    <xf numFmtId="10" fontId="12" fillId="0" borderId="50" xfId="5" applyNumberFormat="1" applyFont="1" applyFill="1" applyBorder="1" applyAlignment="1" applyProtection="1">
      <alignment horizontal="center" vertical="center"/>
    </xf>
    <xf numFmtId="44" fontId="12" fillId="0" borderId="49" xfId="1" applyNumberFormat="1" applyFont="1" applyFill="1" applyBorder="1" applyAlignment="1" applyProtection="1">
      <alignment horizontal="center" vertical="center"/>
    </xf>
    <xf numFmtId="164" fontId="12" fillId="0" borderId="48" xfId="7" applyNumberFormat="1" applyFont="1" applyFill="1" applyBorder="1" applyAlignment="1" applyProtection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44" fontId="0" fillId="0" borderId="51" xfId="1" applyNumberFormat="1" applyFont="1" applyFill="1" applyBorder="1" applyAlignment="1" applyProtection="1">
      <alignment horizontal="center" vertical="center"/>
    </xf>
    <xf numFmtId="4" fontId="11" fillId="0" borderId="52" xfId="3" applyNumberFormat="1" applyFont="1" applyBorder="1" applyAlignment="1">
      <alignment horizontal="right" vertical="center"/>
    </xf>
    <xf numFmtId="169" fontId="14" fillId="0" borderId="53" xfId="5" applyNumberFormat="1" applyBorder="1" applyAlignment="1">
      <alignment horizontal="right" vertical="center"/>
    </xf>
    <xf numFmtId="44" fontId="14" fillId="0" borderId="54" xfId="1" applyNumberFormat="1" applyFont="1" applyBorder="1" applyAlignment="1">
      <alignment horizontal="center" vertical="center"/>
    </xf>
    <xf numFmtId="44" fontId="14" fillId="0" borderId="55" xfId="1" applyNumberFormat="1" applyFont="1" applyBorder="1" applyAlignment="1">
      <alignment horizontal="center" vertical="center"/>
    </xf>
    <xf numFmtId="4" fontId="11" fillId="0" borderId="56" xfId="3" applyNumberFormat="1" applyFont="1" applyBorder="1" applyAlignment="1"/>
    <xf numFmtId="0" fontId="14" fillId="0" borderId="57" xfId="3" applyBorder="1"/>
    <xf numFmtId="0" fontId="11" fillId="0" borderId="58" xfId="3" applyFont="1" applyBorder="1" applyAlignment="1">
      <alignment horizontal="left"/>
    </xf>
    <xf numFmtId="0" fontId="11" fillId="0" borderId="59" xfId="3" applyFont="1" applyBorder="1" applyAlignment="1">
      <alignment horizontal="left"/>
    </xf>
    <xf numFmtId="164" fontId="14" fillId="0" borderId="59" xfId="3" applyNumberFormat="1" applyFont="1" applyBorder="1" applyAlignment="1">
      <alignment horizontal="center" vertical="center"/>
    </xf>
    <xf numFmtId="4" fontId="11" fillId="0" borderId="59" xfId="3" applyNumberFormat="1" applyFont="1" applyBorder="1" applyAlignment="1"/>
    <xf numFmtId="0" fontId="14" fillId="0" borderId="60" xfId="3" applyBorder="1"/>
    <xf numFmtId="0" fontId="11" fillId="0" borderId="42" xfId="3" applyFont="1" applyBorder="1" applyAlignment="1">
      <alignment horizontal="left"/>
    </xf>
    <xf numFmtId="0" fontId="14" fillId="0" borderId="52" xfId="3" applyFont="1" applyBorder="1" applyAlignment="1">
      <alignment horizontal="left"/>
    </xf>
    <xf numFmtId="164" fontId="14" fillId="0" borderId="42" xfId="3" applyNumberFormat="1" applyFont="1" applyBorder="1" applyAlignment="1">
      <alignment horizontal="left" vertical="center"/>
    </xf>
    <xf numFmtId="164" fontId="14" fillId="0" borderId="52" xfId="3" applyNumberFormat="1" applyFont="1" applyBorder="1" applyAlignment="1">
      <alignment horizontal="center" vertical="center"/>
    </xf>
    <xf numFmtId="4" fontId="11" fillId="0" borderId="52" xfId="3" applyNumberFormat="1" applyFont="1" applyBorder="1" applyAlignment="1"/>
    <xf numFmtId="0" fontId="14" fillId="0" borderId="61" xfId="3" applyBorder="1"/>
    <xf numFmtId="0" fontId="11" fillId="0" borderId="62" xfId="3" applyFont="1" applyBorder="1" applyAlignment="1">
      <alignment horizontal="left"/>
    </xf>
    <xf numFmtId="14" fontId="11" fillId="0" borderId="0" xfId="3" applyNumberFormat="1" applyFont="1" applyBorder="1" applyAlignment="1">
      <alignment horizontal="center"/>
    </xf>
    <xf numFmtId="164" fontId="14" fillId="0" borderId="62" xfId="3" applyNumberFormat="1" applyFont="1" applyBorder="1" applyAlignment="1">
      <alignment horizontal="center" vertical="center"/>
    </xf>
    <xf numFmtId="164" fontId="14" fillId="0" borderId="33" xfId="3" applyNumberFormat="1" applyFont="1" applyBorder="1" applyAlignment="1">
      <alignment horizontal="center" vertical="center"/>
    </xf>
    <xf numFmtId="0" fontId="14" fillId="0" borderId="0" xfId="3" applyBorder="1"/>
    <xf numFmtId="0" fontId="11" fillId="0" borderId="63" xfId="3" applyFont="1" applyBorder="1" applyAlignment="1">
      <alignment horizontal="left"/>
    </xf>
    <xf numFmtId="0" fontId="14" fillId="0" borderId="64" xfId="3" applyBorder="1"/>
    <xf numFmtId="0" fontId="15" fillId="3" borderId="65" xfId="4" applyFont="1" applyFill="1" applyBorder="1" applyAlignment="1">
      <alignment wrapText="1"/>
    </xf>
    <xf numFmtId="0" fontId="16" fillId="10" borderId="28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49" fontId="15" fillId="10" borderId="13" xfId="0" applyNumberFormat="1" applyFont="1" applyFill="1" applyBorder="1" applyAlignment="1">
      <alignment horizontal="center"/>
    </xf>
    <xf numFmtId="166" fontId="16" fillId="10" borderId="13" xfId="1" applyNumberFormat="1" applyFont="1" applyFill="1" applyBorder="1" applyAlignment="1" applyProtection="1"/>
    <xf numFmtId="166" fontId="16" fillId="10" borderId="29" xfId="1" applyNumberFormat="1" applyFont="1" applyFill="1" applyBorder="1" applyAlignment="1" applyProtection="1"/>
    <xf numFmtId="0" fontId="15" fillId="10" borderId="13" xfId="0" applyFont="1" applyFill="1" applyBorder="1" applyAlignment="1">
      <alignment horizontal="center" vertical="center" wrapText="1"/>
    </xf>
    <xf numFmtId="2" fontId="0" fillId="0" borderId="109" xfId="0" applyNumberFormat="1" applyBorder="1" applyAlignment="1">
      <alignment horizontal="center" vertical="center"/>
    </xf>
    <xf numFmtId="2" fontId="26" fillId="0" borderId="109" xfId="0" applyNumberFormat="1" applyFont="1" applyBorder="1" applyAlignment="1">
      <alignment horizontal="center" vertical="center"/>
    </xf>
    <xf numFmtId="2" fontId="26" fillId="0" borderId="109" xfId="0" applyNumberFormat="1" applyFont="1" applyBorder="1" applyAlignment="1">
      <alignment horizontal="left" vertical="center" wrapText="1"/>
    </xf>
    <xf numFmtId="0" fontId="16" fillId="3" borderId="109" xfId="0" applyFont="1" applyFill="1" applyBorder="1" applyAlignment="1">
      <alignment horizontal="left" vertical="center"/>
    </xf>
    <xf numFmtId="167" fontId="16" fillId="3" borderId="109" xfId="9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1" fontId="28" fillId="12" borderId="109" xfId="0" applyNumberFormat="1" applyFont="1" applyFill="1" applyBorder="1" applyAlignment="1">
      <alignment horizontal="center" vertical="center"/>
    </xf>
    <xf numFmtId="2" fontId="28" fillId="12" borderId="109" xfId="0" applyNumberFormat="1" applyFont="1" applyFill="1" applyBorder="1" applyAlignment="1">
      <alignment horizontal="left" vertical="center" wrapText="1"/>
    </xf>
    <xf numFmtId="2" fontId="0" fillId="12" borderId="109" xfId="0" applyNumberFormat="1" applyFont="1" applyFill="1" applyBorder="1" applyAlignment="1">
      <alignment horizontal="center" vertical="center"/>
    </xf>
    <xf numFmtId="2" fontId="28" fillId="12" borderId="109" xfId="0" applyNumberFormat="1" applyFont="1" applyFill="1" applyBorder="1" applyAlignment="1">
      <alignment horizontal="center" vertical="center"/>
    </xf>
    <xf numFmtId="0" fontId="0" fillId="12" borderId="0" xfId="0" applyFont="1" applyFill="1"/>
    <xf numFmtId="0" fontId="0" fillId="12" borderId="0" xfId="0" applyFill="1"/>
    <xf numFmtId="0" fontId="11" fillId="12" borderId="0" xfId="0" applyFont="1" applyFill="1"/>
    <xf numFmtId="0" fontId="0" fillId="0" borderId="109" xfId="0" applyBorder="1" applyAlignment="1">
      <alignment horizontal="center"/>
    </xf>
    <xf numFmtId="0" fontId="0" fillId="0" borderId="109" xfId="0" applyBorder="1"/>
    <xf numFmtId="0" fontId="11" fillId="12" borderId="109" xfId="0" applyFont="1" applyFill="1" applyBorder="1" applyAlignment="1">
      <alignment horizontal="center"/>
    </xf>
    <xf numFmtId="0" fontId="11" fillId="12" borderId="109" xfId="0" applyFont="1" applyFill="1" applyBorder="1"/>
    <xf numFmtId="0" fontId="0" fillId="12" borderId="109" xfId="0" applyFill="1" applyBorder="1"/>
    <xf numFmtId="0" fontId="0" fillId="0" borderId="109" xfId="0" applyBorder="1" applyAlignment="1">
      <alignment wrapText="1"/>
    </xf>
    <xf numFmtId="0" fontId="0" fillId="12" borderId="109" xfId="0" applyFill="1" applyBorder="1" applyAlignment="1">
      <alignment horizontal="center"/>
    </xf>
    <xf numFmtId="2" fontId="0" fillId="0" borderId="109" xfId="0" applyNumberFormat="1" applyBorder="1" applyAlignment="1">
      <alignment horizontal="center"/>
    </xf>
    <xf numFmtId="0" fontId="29" fillId="3" borderId="15" xfId="0" applyFont="1" applyFill="1" applyBorder="1"/>
    <xf numFmtId="164" fontId="30" fillId="4" borderId="12" xfId="9" applyNumberFormat="1" applyFont="1" applyFill="1" applyBorder="1" applyAlignment="1" applyProtection="1">
      <alignment horizontal="right"/>
    </xf>
    <xf numFmtId="164" fontId="30" fillId="0" borderId="13" xfId="9" applyNumberFormat="1" applyFont="1" applyFill="1" applyBorder="1" applyAlignment="1" applyProtection="1">
      <alignment horizontal="right"/>
    </xf>
    <xf numFmtId="164" fontId="29" fillId="5" borderId="13" xfId="9" applyNumberFormat="1" applyFont="1" applyFill="1" applyBorder="1" applyAlignment="1" applyProtection="1">
      <alignment horizontal="right"/>
    </xf>
    <xf numFmtId="164" fontId="30" fillId="4" borderId="13" xfId="9" applyNumberFormat="1" applyFont="1" applyFill="1" applyBorder="1" applyAlignment="1" applyProtection="1">
      <alignment horizontal="right"/>
    </xf>
    <xf numFmtId="164" fontId="30" fillId="5" borderId="13" xfId="9" applyNumberFormat="1" applyFont="1" applyFill="1" applyBorder="1" applyAlignment="1" applyProtection="1">
      <alignment horizontal="right"/>
    </xf>
    <xf numFmtId="164" fontId="30" fillId="10" borderId="13" xfId="9" applyNumberFormat="1" applyFont="1" applyFill="1" applyBorder="1" applyAlignment="1" applyProtection="1">
      <alignment horizontal="right"/>
    </xf>
    <xf numFmtId="164" fontId="29" fillId="4" borderId="13" xfId="9" applyNumberFormat="1" applyFont="1" applyFill="1" applyBorder="1" applyAlignment="1" applyProtection="1">
      <alignment horizontal="right"/>
    </xf>
    <xf numFmtId="164" fontId="29" fillId="5" borderId="13" xfId="9" applyNumberFormat="1" applyFont="1" applyFill="1" applyBorder="1" applyAlignment="1" applyProtection="1">
      <alignment horizontal="center"/>
    </xf>
    <xf numFmtId="164" fontId="30" fillId="4" borderId="13" xfId="9" applyNumberFormat="1" applyFont="1" applyFill="1" applyBorder="1" applyAlignment="1" applyProtection="1">
      <alignment horizontal="center"/>
    </xf>
    <xf numFmtId="164" fontId="30" fillId="3" borderId="0" xfId="9" applyNumberFormat="1" applyFont="1" applyFill="1" applyBorder="1" applyAlignment="1" applyProtection="1"/>
    <xf numFmtId="0" fontId="30" fillId="3" borderId="16" xfId="0" applyFont="1" applyFill="1" applyBorder="1" applyAlignment="1">
      <alignment vertical="top"/>
    </xf>
    <xf numFmtId="0" fontId="30" fillId="0" borderId="33" xfId="0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2" fontId="0" fillId="12" borderId="109" xfId="0" applyNumberFormat="1" applyFill="1" applyBorder="1" applyAlignment="1">
      <alignment horizontal="center"/>
    </xf>
    <xf numFmtId="2" fontId="0" fillId="0" borderId="0" xfId="0" applyNumberFormat="1"/>
    <xf numFmtId="0" fontId="11" fillId="0" borderId="109" xfId="0" applyFont="1" applyBorder="1" applyAlignment="1">
      <alignment horizontal="center"/>
    </xf>
    <xf numFmtId="2" fontId="11" fillId="0" borderId="109" xfId="0" applyNumberFormat="1" applyFont="1" applyBorder="1" applyAlignment="1">
      <alignment horizontal="center"/>
    </xf>
    <xf numFmtId="0" fontId="0" fillId="0" borderId="109" xfId="0" applyBorder="1" applyAlignment="1">
      <alignment horizontal="center" wrapText="1"/>
    </xf>
    <xf numFmtId="0" fontId="0" fillId="0" borderId="109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/>
    </xf>
    <xf numFmtId="2" fontId="11" fillId="12" borderId="109" xfId="0" applyNumberFormat="1" applyFont="1" applyFill="1" applyBorder="1" applyAlignment="1">
      <alignment horizontal="center"/>
    </xf>
    <xf numFmtId="164" fontId="16" fillId="0" borderId="13" xfId="9" applyNumberFormat="1" applyFont="1" applyFill="1" applyBorder="1" applyAlignment="1" applyProtection="1">
      <alignment horizontal="center"/>
    </xf>
    <xf numFmtId="0" fontId="31" fillId="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 vertical="center"/>
    </xf>
    <xf numFmtId="0" fontId="0" fillId="0" borderId="109" xfId="0" applyBorder="1" applyAlignment="1"/>
    <xf numFmtId="12" fontId="0" fillId="0" borderId="109" xfId="0" applyNumberFormat="1" applyBorder="1" applyAlignment="1">
      <alignment horizontal="center"/>
    </xf>
    <xf numFmtId="0" fontId="0" fillId="0" borderId="109" xfId="0" applyBorder="1" applyAlignment="1">
      <alignment horizontal="left" wrapText="1"/>
    </xf>
    <xf numFmtId="0" fontId="11" fillId="0" borderId="109" xfId="0" applyFont="1" applyFill="1" applyBorder="1" applyAlignment="1">
      <alignment horizontal="center"/>
    </xf>
    <xf numFmtId="2" fontId="11" fillId="0" borderId="109" xfId="0" applyNumberFormat="1" applyFont="1" applyFill="1" applyBorder="1" applyAlignment="1">
      <alignment horizontal="center"/>
    </xf>
    <xf numFmtId="0" fontId="0" fillId="0" borderId="109" xfId="0" applyFont="1" applyFill="1" applyBorder="1" applyAlignment="1">
      <alignment horizontal="center"/>
    </xf>
    <xf numFmtId="2" fontId="0" fillId="0" borderId="109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09" xfId="0" applyFont="1" applyFill="1" applyBorder="1" applyAlignment="1">
      <alignment wrapText="1"/>
    </xf>
    <xf numFmtId="0" fontId="0" fillId="0" borderId="109" xfId="0" applyFont="1" applyFill="1" applyBorder="1" applyAlignment="1">
      <alignment horizontal="center" wrapText="1"/>
    </xf>
    <xf numFmtId="2" fontId="26" fillId="0" borderId="109" xfId="0" applyNumberFormat="1" applyFont="1" applyBorder="1" applyAlignment="1">
      <alignment horizontal="center" vertical="center" wrapText="1"/>
    </xf>
    <xf numFmtId="0" fontId="21" fillId="9" borderId="0" xfId="0" applyFont="1" applyFill="1" applyAlignment="1"/>
    <xf numFmtId="0" fontId="13" fillId="3" borderId="0" xfId="4" applyFont="1" applyFill="1" applyBorder="1" applyAlignment="1">
      <alignment horizontal="left"/>
    </xf>
    <xf numFmtId="0" fontId="13" fillId="3" borderId="109" xfId="4" applyFont="1" applyFill="1" applyBorder="1" applyAlignment="1">
      <alignment horizontal="left"/>
    </xf>
    <xf numFmtId="0" fontId="13" fillId="4" borderId="109" xfId="0" applyFont="1" applyFill="1" applyBorder="1"/>
    <xf numFmtId="168" fontId="14" fillId="0" borderId="109" xfId="1" applyNumberFormat="1" applyBorder="1"/>
    <xf numFmtId="0" fontId="15" fillId="3" borderId="16" xfId="0" applyFont="1" applyFill="1" applyBorder="1"/>
    <xf numFmtId="167" fontId="15" fillId="3" borderId="16" xfId="9" applyNumberFormat="1" applyFont="1" applyFill="1" applyBorder="1" applyAlignment="1" applyProtection="1"/>
    <xf numFmtId="2" fontId="0" fillId="0" borderId="109" xfId="0" applyNumberFormat="1" applyFont="1" applyFill="1" applyBorder="1" applyAlignment="1">
      <alignment horizontal="center" vertical="center"/>
    </xf>
    <xf numFmtId="2" fontId="28" fillId="0" borderId="109" xfId="0" applyNumberFormat="1" applyFont="1" applyFill="1" applyBorder="1" applyAlignment="1">
      <alignment horizontal="center" vertical="center"/>
    </xf>
    <xf numFmtId="1" fontId="32" fillId="0" borderId="109" xfId="0" applyNumberFormat="1" applyFont="1" applyFill="1" applyBorder="1" applyAlignment="1">
      <alignment horizontal="center" vertical="center"/>
    </xf>
    <xf numFmtId="2" fontId="32" fillId="0" borderId="109" xfId="0" applyNumberFormat="1" applyFont="1" applyFill="1" applyBorder="1" applyAlignment="1">
      <alignment horizontal="left" vertical="center" wrapText="1"/>
    </xf>
    <xf numFmtId="1" fontId="0" fillId="0" borderId="109" xfId="0" applyNumberFormat="1" applyFont="1" applyFill="1" applyBorder="1" applyAlignment="1">
      <alignment horizontal="center" vertical="center"/>
    </xf>
    <xf numFmtId="10" fontId="11" fillId="0" borderId="30" xfId="1" applyNumberFormat="1" applyFont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wrapText="1"/>
    </xf>
    <xf numFmtId="170" fontId="14" fillId="3" borderId="13" xfId="1" applyNumberFormat="1" applyFill="1" applyBorder="1" applyAlignment="1" applyProtection="1">
      <alignment horizontal="center"/>
    </xf>
    <xf numFmtId="166" fontId="14" fillId="0" borderId="13" xfId="1" applyNumberFormat="1" applyFill="1" applyBorder="1" applyAlignment="1" applyProtection="1">
      <alignment horizontal="center"/>
    </xf>
    <xf numFmtId="166" fontId="16" fillId="13" borderId="13" xfId="1" applyNumberFormat="1" applyFont="1" applyFill="1" applyBorder="1" applyAlignment="1" applyProtection="1"/>
    <xf numFmtId="166" fontId="10" fillId="14" borderId="0" xfId="0" applyNumberFormat="1" applyFont="1" applyFill="1"/>
    <xf numFmtId="168" fontId="14" fillId="14" borderId="109" xfId="1" applyNumberFormat="1" applyFill="1" applyBorder="1"/>
    <xf numFmtId="0" fontId="10" fillId="14" borderId="0" xfId="0" applyFont="1" applyFill="1"/>
    <xf numFmtId="0" fontId="15" fillId="0" borderId="28" xfId="0" applyFont="1" applyFill="1" applyBorder="1" applyAlignment="1">
      <alignment horizontal="center" vertical="center"/>
    </xf>
    <xf numFmtId="0" fontId="16" fillId="0" borderId="111" xfId="0" applyFont="1" applyFill="1" applyBorder="1" applyAlignment="1">
      <alignment horizontal="center" vertical="center"/>
    </xf>
    <xf numFmtId="0" fontId="16" fillId="0" borderId="112" xfId="0" applyFont="1" applyFill="1" applyBorder="1" applyAlignment="1">
      <alignment horizontal="center" vertical="center"/>
    </xf>
    <xf numFmtId="49" fontId="16" fillId="0" borderId="112" xfId="0" applyNumberFormat="1" applyFont="1" applyFill="1" applyBorder="1" applyAlignment="1">
      <alignment horizontal="center"/>
    </xf>
    <xf numFmtId="164" fontId="16" fillId="0" borderId="112" xfId="9" applyNumberFormat="1" applyFont="1" applyFill="1" applyBorder="1" applyAlignment="1" applyProtection="1">
      <alignment horizontal="right"/>
    </xf>
    <xf numFmtId="166" fontId="16" fillId="3" borderId="112" xfId="1" applyNumberFormat="1" applyFont="1" applyFill="1" applyBorder="1" applyAlignment="1" applyProtection="1"/>
    <xf numFmtId="166" fontId="16" fillId="3" borderId="113" xfId="1" applyNumberFormat="1" applyFont="1" applyFill="1" applyBorder="1" applyAlignment="1" applyProtection="1"/>
    <xf numFmtId="0" fontId="16" fillId="0" borderId="114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horizontal="center" vertical="center"/>
    </xf>
    <xf numFmtId="0" fontId="24" fillId="0" borderId="115" xfId="0" applyFont="1" applyBorder="1" applyAlignment="1">
      <alignment wrapText="1"/>
    </xf>
    <xf numFmtId="49" fontId="16" fillId="0" borderId="115" xfId="0" applyNumberFormat="1" applyFont="1" applyFill="1" applyBorder="1" applyAlignment="1">
      <alignment horizontal="center"/>
    </xf>
    <xf numFmtId="164" fontId="16" fillId="0" borderId="115" xfId="9" applyNumberFormat="1" applyFont="1" applyFill="1" applyBorder="1" applyAlignment="1" applyProtection="1">
      <alignment horizontal="right"/>
    </xf>
    <xf numFmtId="166" fontId="16" fillId="3" borderId="115" xfId="1" applyNumberFormat="1" applyFont="1" applyFill="1" applyBorder="1" applyAlignment="1" applyProtection="1"/>
    <xf numFmtId="166" fontId="16" fillId="3" borderId="116" xfId="1" applyNumberFormat="1" applyFont="1" applyFill="1" applyBorder="1" applyAlignment="1" applyProtection="1"/>
    <xf numFmtId="0" fontId="16" fillId="0" borderId="109" xfId="0" applyFont="1" applyBorder="1" applyAlignment="1">
      <alignment horizontal="center"/>
    </xf>
    <xf numFmtId="49" fontId="16" fillId="0" borderId="109" xfId="0" applyNumberFormat="1" applyFont="1" applyBorder="1" applyAlignment="1">
      <alignment horizontal="center"/>
    </xf>
    <xf numFmtId="168" fontId="14" fillId="0" borderId="117" xfId="1" applyNumberFormat="1" applyBorder="1"/>
    <xf numFmtId="168" fontId="14" fillId="0" borderId="118" xfId="1" applyNumberFormat="1" applyBorder="1"/>
    <xf numFmtId="166" fontId="16" fillId="3" borderId="109" xfId="1" applyNumberFormat="1" applyFont="1" applyFill="1" applyBorder="1" applyAlignment="1" applyProtection="1"/>
    <xf numFmtId="0" fontId="16" fillId="0" borderId="109" xfId="0" applyFont="1" applyFill="1" applyBorder="1" applyAlignment="1">
      <alignment horizontal="center" vertical="center"/>
    </xf>
    <xf numFmtId="49" fontId="16" fillId="0" borderId="109" xfId="0" applyNumberFormat="1" applyFont="1" applyFill="1" applyBorder="1" applyAlignment="1">
      <alignment horizontal="center"/>
    </xf>
    <xf numFmtId="164" fontId="16" fillId="0" borderId="109" xfId="9" applyNumberFormat="1" applyFont="1" applyFill="1" applyBorder="1" applyAlignment="1" applyProtection="1">
      <alignment horizontal="right"/>
    </xf>
    <xf numFmtId="0" fontId="24" fillId="0" borderId="109" xfId="0" applyFont="1" applyBorder="1" applyAlignment="1">
      <alignment wrapText="1"/>
    </xf>
    <xf numFmtId="0" fontId="22" fillId="0" borderId="109" xfId="0" applyFont="1" applyBorder="1" applyAlignment="1">
      <alignment wrapText="1"/>
    </xf>
    <xf numFmtId="0" fontId="22" fillId="0" borderId="109" xfId="0" applyFont="1" applyFill="1" applyBorder="1" applyAlignment="1">
      <alignment horizontal="left" vertical="center" wrapText="1"/>
    </xf>
    <xf numFmtId="0" fontId="22" fillId="0" borderId="112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wrapText="1"/>
    </xf>
    <xf numFmtId="166" fontId="16" fillId="5" borderId="0" xfId="1" applyNumberFormat="1" applyFont="1" applyFill="1" applyBorder="1" applyAlignment="1" applyProtection="1"/>
    <xf numFmtId="168" fontId="14" fillId="0" borderId="0" xfId="1" applyNumberFormat="1" applyBorder="1"/>
    <xf numFmtId="0" fontId="16" fillId="5" borderId="111" xfId="0" applyFont="1" applyFill="1" applyBorder="1" applyAlignment="1">
      <alignment horizontal="center" vertical="center"/>
    </xf>
    <xf numFmtId="0" fontId="16" fillId="5" borderId="112" xfId="0" applyFont="1" applyFill="1" applyBorder="1" applyAlignment="1">
      <alignment horizontal="center" vertical="center"/>
    </xf>
    <xf numFmtId="0" fontId="15" fillId="5" borderId="112" xfId="0" applyFont="1" applyFill="1" applyBorder="1" applyAlignment="1">
      <alignment horizontal="right" wrapText="1"/>
    </xf>
    <xf numFmtId="49" fontId="15" fillId="5" borderId="112" xfId="0" applyNumberFormat="1" applyFont="1" applyFill="1" applyBorder="1" applyAlignment="1">
      <alignment horizontal="center"/>
    </xf>
    <xf numFmtId="164" fontId="30" fillId="5" borderId="112" xfId="9" applyNumberFormat="1" applyFont="1" applyFill="1" applyBorder="1" applyAlignment="1" applyProtection="1">
      <alignment horizontal="center"/>
    </xf>
    <xf numFmtId="166" fontId="16" fillId="5" borderId="112" xfId="1" applyNumberFormat="1" applyFont="1" applyFill="1" applyBorder="1" applyAlignment="1" applyProtection="1"/>
    <xf numFmtId="166" fontId="16" fillId="5" borderId="113" xfId="1" applyNumberFormat="1" applyFont="1" applyFill="1" applyBorder="1" applyAlignment="1" applyProtection="1"/>
    <xf numFmtId="0" fontId="16" fillId="15" borderId="109" xfId="0" applyFont="1" applyFill="1" applyBorder="1" applyAlignment="1">
      <alignment horizontal="center" vertical="center"/>
    </xf>
    <xf numFmtId="0" fontId="15" fillId="15" borderId="109" xfId="0" applyFont="1" applyFill="1" applyBorder="1" applyAlignment="1">
      <alignment horizontal="right" wrapText="1"/>
    </xf>
    <xf numFmtId="49" fontId="15" fillId="15" borderId="109" xfId="0" applyNumberFormat="1" applyFont="1" applyFill="1" applyBorder="1" applyAlignment="1">
      <alignment horizontal="center"/>
    </xf>
    <xf numFmtId="164" fontId="30" fillId="15" borderId="109" xfId="9" applyNumberFormat="1" applyFont="1" applyFill="1" applyBorder="1" applyAlignment="1" applyProtection="1">
      <alignment horizontal="center"/>
    </xf>
    <xf numFmtId="166" fontId="16" fillId="15" borderId="109" xfId="1" applyNumberFormat="1" applyFont="1" applyFill="1" applyBorder="1" applyAlignment="1" applyProtection="1"/>
    <xf numFmtId="166" fontId="16" fillId="3" borderId="13" xfId="1" applyNumberFormat="1" applyFont="1" applyFill="1" applyBorder="1" applyAlignment="1" applyProtection="1">
      <alignment horizontal="right"/>
    </xf>
    <xf numFmtId="0" fontId="16" fillId="0" borderId="13" xfId="0" applyFont="1" applyFill="1" applyBorder="1" applyAlignment="1">
      <alignment horizontal="left" wrapText="1"/>
    </xf>
    <xf numFmtId="0" fontId="16" fillId="0" borderId="111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49" fontId="16" fillId="0" borderId="112" xfId="0" applyNumberFormat="1" applyFont="1" applyBorder="1" applyAlignment="1">
      <alignment horizontal="center"/>
    </xf>
    <xf numFmtId="164" fontId="16" fillId="0" borderId="112" xfId="9" applyNumberFormat="1" applyFont="1" applyFill="1" applyBorder="1" applyAlignment="1" applyProtection="1">
      <alignment horizontal="center"/>
    </xf>
    <xf numFmtId="0" fontId="22" fillId="0" borderId="13" xfId="0" applyFont="1" applyBorder="1" applyAlignment="1">
      <alignment horizontal="left" wrapText="1"/>
    </xf>
    <xf numFmtId="0" fontId="22" fillId="0" borderId="112" xfId="0" applyFont="1" applyBorder="1" applyAlignment="1">
      <alignment horizontal="left" vertical="center" wrapText="1"/>
    </xf>
    <xf numFmtId="166" fontId="16" fillId="3" borderId="31" xfId="1" applyNumberFormat="1" applyFont="1" applyFill="1" applyBorder="1" applyAlignment="1" applyProtection="1">
      <alignment vertical="center"/>
    </xf>
    <xf numFmtId="0" fontId="11" fillId="12" borderId="109" xfId="0" applyFont="1" applyFill="1" applyBorder="1" applyAlignment="1">
      <alignment wrapText="1"/>
    </xf>
    <xf numFmtId="0" fontId="11" fillId="12" borderId="109" xfId="0" applyFont="1" applyFill="1" applyBorder="1" applyAlignment="1">
      <alignment horizontal="center" vertical="center"/>
    </xf>
    <xf numFmtId="0" fontId="11" fillId="12" borderId="109" xfId="0" applyFont="1" applyFill="1" applyBorder="1" applyAlignment="1">
      <alignment horizontal="center" vertical="center" wrapText="1"/>
    </xf>
    <xf numFmtId="0" fontId="11" fillId="12" borderId="109" xfId="0" applyFont="1" applyFill="1" applyBorder="1" applyAlignment="1"/>
    <xf numFmtId="0" fontId="11" fillId="0" borderId="109" xfId="0" applyFont="1" applyBorder="1" applyAlignment="1">
      <alignment wrapText="1"/>
    </xf>
    <xf numFmtId="0" fontId="11" fillId="0" borderId="0" xfId="0" applyFont="1"/>
    <xf numFmtId="0" fontId="11" fillId="0" borderId="109" xfId="0" applyFont="1" applyBorder="1"/>
    <xf numFmtId="0" fontId="34" fillId="0" borderId="109" xfId="0" applyFont="1" applyFill="1" applyBorder="1" applyAlignment="1">
      <alignment horizontal="center"/>
    </xf>
    <xf numFmtId="0" fontId="34" fillId="0" borderId="109" xfId="0" applyFont="1" applyFill="1" applyBorder="1"/>
    <xf numFmtId="2" fontId="34" fillId="0" borderId="109" xfId="0" applyNumberFormat="1" applyFont="1" applyFill="1" applyBorder="1" applyAlignment="1">
      <alignment horizontal="center"/>
    </xf>
    <xf numFmtId="0" fontId="33" fillId="0" borderId="109" xfId="0" applyFont="1" applyFill="1" applyBorder="1" applyAlignment="1">
      <alignment horizontal="center"/>
    </xf>
    <xf numFmtId="0" fontId="34" fillId="0" borderId="0" xfId="0" applyFont="1" applyFill="1"/>
    <xf numFmtId="164" fontId="16" fillId="0" borderId="13" xfId="9" applyNumberFormat="1" applyFont="1" applyFill="1" applyBorder="1" applyAlignment="1" applyProtection="1">
      <alignment horizontal="center" vertical="center"/>
    </xf>
    <xf numFmtId="2" fontId="11" fillId="0" borderId="0" xfId="0" applyNumberFormat="1" applyFont="1"/>
    <xf numFmtId="2" fontId="11" fillId="0" borderId="0" xfId="0" applyNumberFormat="1" applyFont="1" applyAlignment="1">
      <alignment horizontal="center"/>
    </xf>
    <xf numFmtId="2" fontId="16" fillId="0" borderId="109" xfId="0" applyNumberFormat="1" applyFont="1" applyBorder="1" applyAlignment="1">
      <alignment horizontal="right"/>
    </xf>
    <xf numFmtId="2" fontId="0" fillId="0" borderId="118" xfId="0" applyNumberFormat="1" applyBorder="1" applyAlignment="1">
      <alignment horizontal="center"/>
    </xf>
    <xf numFmtId="2" fontId="11" fillId="0" borderId="109" xfId="0" applyNumberFormat="1" applyFont="1" applyBorder="1" applyAlignment="1">
      <alignment horizontal="center" vertical="center"/>
    </xf>
    <xf numFmtId="166" fontId="9" fillId="3" borderId="0" xfId="0" applyNumberFormat="1" applyFont="1" applyFill="1"/>
    <xf numFmtId="49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justify" vertical="center"/>
    </xf>
    <xf numFmtId="10" fontId="1" fillId="0" borderId="8" xfId="6" applyNumberFormat="1" applyFont="1" applyFill="1" applyBorder="1" applyAlignment="1" applyProtection="1">
      <alignment horizontal="right" vertical="center"/>
    </xf>
    <xf numFmtId="164" fontId="1" fillId="0" borderId="8" xfId="8" applyFont="1" applyFill="1" applyBorder="1" applyAlignment="1" applyProtection="1">
      <alignment vertical="center"/>
    </xf>
    <xf numFmtId="0" fontId="1" fillId="0" borderId="8" xfId="0" applyFont="1" applyBorder="1" applyAlignment="1">
      <alignment horizontal="justify" vertical="center"/>
    </xf>
    <xf numFmtId="164" fontId="2" fillId="0" borderId="8" xfId="8" applyFont="1" applyFill="1" applyBorder="1" applyAlignment="1" applyProtection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5" fillId="0" borderId="8" xfId="8" applyFont="1" applyFill="1" applyBorder="1" applyAlignment="1" applyProtection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3" borderId="70" xfId="0" applyFont="1" applyFill="1" applyBorder="1" applyAlignment="1">
      <alignment horizontal="center"/>
    </xf>
    <xf numFmtId="0" fontId="16" fillId="3" borderId="76" xfId="0" applyFont="1" applyFill="1" applyBorder="1" applyAlignment="1">
      <alignment horizontal="center"/>
    </xf>
    <xf numFmtId="0" fontId="16" fillId="3" borderId="77" xfId="0" applyFont="1" applyFill="1" applyBorder="1" applyAlignment="1">
      <alignment horizontal="left" vertical="center"/>
    </xf>
    <xf numFmtId="0" fontId="16" fillId="3" borderId="78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79" xfId="0" applyFont="1" applyFill="1" applyBorder="1" applyAlignment="1">
      <alignment horizontal="center" vertical="center"/>
    </xf>
    <xf numFmtId="164" fontId="16" fillId="3" borderId="36" xfId="9" applyNumberFormat="1" applyFont="1" applyFill="1" applyBorder="1" applyAlignment="1" applyProtection="1">
      <alignment horizontal="center"/>
    </xf>
    <xf numFmtId="164" fontId="16" fillId="3" borderId="0" xfId="9" applyNumberFormat="1" applyFont="1" applyFill="1" applyBorder="1" applyAlignment="1" applyProtection="1">
      <alignment horizontal="center"/>
    </xf>
    <xf numFmtId="164" fontId="16" fillId="3" borderId="31" xfId="9" applyNumberFormat="1" applyFont="1" applyFill="1" applyBorder="1" applyAlignment="1" applyProtection="1">
      <alignment horizontal="center"/>
    </xf>
    <xf numFmtId="0" fontId="16" fillId="3" borderId="72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7" fillId="3" borderId="66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5" fillId="7" borderId="68" xfId="0" applyFont="1" applyFill="1" applyBorder="1" applyAlignment="1">
      <alignment horizontal="center" vertical="center"/>
    </xf>
    <xf numFmtId="0" fontId="15" fillId="7" borderId="69" xfId="0" applyFont="1" applyFill="1" applyBorder="1" applyAlignment="1">
      <alignment horizontal="center" vertical="center"/>
    </xf>
    <xf numFmtId="0" fontId="15" fillId="3" borderId="70" xfId="0" applyFont="1" applyFill="1" applyBorder="1" applyAlignment="1" applyProtection="1">
      <alignment horizontal="center" vertical="center" wrapText="1"/>
    </xf>
    <xf numFmtId="0" fontId="15" fillId="3" borderId="71" xfId="0" applyFont="1" applyFill="1" applyBorder="1" applyAlignment="1" applyProtection="1">
      <alignment horizontal="center" vertical="center" wrapText="1"/>
    </xf>
    <xf numFmtId="0" fontId="15" fillId="3" borderId="47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0" borderId="110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/>
    </xf>
    <xf numFmtId="0" fontId="15" fillId="3" borderId="21" xfId="4" applyFont="1" applyFill="1" applyBorder="1" applyAlignment="1">
      <alignment horizontal="center"/>
    </xf>
    <xf numFmtId="0" fontId="15" fillId="3" borderId="73" xfId="4" applyFont="1" applyFill="1" applyBorder="1" applyAlignment="1">
      <alignment horizont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119" xfId="0" applyFont="1" applyBorder="1" applyAlignment="1">
      <alignment horizontal="center" vertical="center"/>
    </xf>
    <xf numFmtId="168" fontId="33" fillId="0" borderId="58" xfId="1" applyNumberFormat="1" applyFont="1" applyBorder="1" applyAlignment="1">
      <alignment horizontal="center" vertical="center"/>
    </xf>
    <xf numFmtId="0" fontId="33" fillId="0" borderId="59" xfId="1" applyFont="1" applyBorder="1" applyAlignment="1">
      <alignment horizontal="center" vertical="center"/>
    </xf>
    <xf numFmtId="0" fontId="33" fillId="0" borderId="60" xfId="1" applyFont="1" applyBorder="1" applyAlignment="1">
      <alignment horizontal="center" vertical="center"/>
    </xf>
    <xf numFmtId="0" fontId="16" fillId="0" borderId="120" xfId="0" applyFont="1" applyFill="1" applyBorder="1" applyAlignment="1">
      <alignment horizontal="center" vertical="center"/>
    </xf>
    <xf numFmtId="0" fontId="16" fillId="0" borderId="121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0" fontId="15" fillId="3" borderId="109" xfId="4" applyFont="1" applyFill="1" applyBorder="1" applyAlignment="1">
      <alignment horizontal="center"/>
    </xf>
    <xf numFmtId="2" fontId="27" fillId="11" borderId="109" xfId="0" applyNumberFormat="1" applyFont="1" applyFill="1" applyBorder="1" applyAlignment="1">
      <alignment horizontal="center" vertical="center"/>
    </xf>
    <xf numFmtId="0" fontId="17" fillId="3" borderId="109" xfId="0" applyFont="1" applyFill="1" applyBorder="1" applyAlignment="1">
      <alignment horizontal="center" vertical="center"/>
    </xf>
    <xf numFmtId="0" fontId="15" fillId="3" borderId="109" xfId="4" applyFont="1" applyFill="1" applyBorder="1" applyAlignment="1">
      <alignment horizontal="left" vertical="center"/>
    </xf>
    <xf numFmtId="0" fontId="15" fillId="3" borderId="109" xfId="4" applyFont="1" applyFill="1" applyBorder="1" applyAlignment="1">
      <alignment horizontal="left" vertical="center" wrapText="1"/>
    </xf>
    <xf numFmtId="0" fontId="11" fillId="6" borderId="90" xfId="3" applyFont="1" applyFill="1" applyBorder="1" applyAlignment="1">
      <alignment horizontal="center" vertical="center"/>
    </xf>
    <xf numFmtId="0" fontId="11" fillId="6" borderId="91" xfId="3" applyFont="1" applyFill="1" applyBorder="1" applyAlignment="1">
      <alignment horizontal="center" vertical="center"/>
    </xf>
    <xf numFmtId="49" fontId="11" fillId="0" borderId="84" xfId="3" applyNumberFormat="1" applyFont="1" applyFill="1" applyBorder="1" applyAlignment="1">
      <alignment horizontal="center" vertical="center"/>
    </xf>
    <xf numFmtId="49" fontId="11" fillId="0" borderId="92" xfId="3" applyNumberFormat="1" applyFont="1" applyFill="1" applyBorder="1" applyAlignment="1">
      <alignment horizontal="center" vertical="center"/>
    </xf>
    <xf numFmtId="49" fontId="11" fillId="0" borderId="93" xfId="3" applyNumberFormat="1" applyFont="1" applyFill="1" applyBorder="1" applyAlignment="1">
      <alignment horizontal="left" vertical="center" wrapText="1"/>
    </xf>
    <xf numFmtId="49" fontId="11" fillId="0" borderId="94" xfId="3" applyNumberFormat="1" applyFont="1" applyFill="1" applyBorder="1" applyAlignment="1">
      <alignment horizontal="left" vertical="center" wrapText="1"/>
    </xf>
    <xf numFmtId="49" fontId="11" fillId="0" borderId="95" xfId="3" applyNumberFormat="1" applyFont="1" applyFill="1" applyBorder="1" applyAlignment="1">
      <alignment horizontal="left" vertical="center" wrapText="1"/>
    </xf>
    <xf numFmtId="0" fontId="11" fillId="8" borderId="59" xfId="3" applyFont="1" applyFill="1" applyBorder="1" applyAlignment="1">
      <alignment horizontal="center"/>
    </xf>
    <xf numFmtId="0" fontId="11" fillId="8" borderId="60" xfId="3" applyFont="1" applyFill="1" applyBorder="1" applyAlignment="1">
      <alignment horizontal="center"/>
    </xf>
    <xf numFmtId="0" fontId="11" fillId="8" borderId="59" xfId="3" applyFont="1" applyFill="1" applyBorder="1" applyAlignment="1">
      <alignment horizontal="center" vertical="center"/>
    </xf>
    <xf numFmtId="0" fontId="11" fillId="8" borderId="60" xfId="3" applyFont="1" applyFill="1" applyBorder="1" applyAlignment="1">
      <alignment horizontal="center" vertical="center"/>
    </xf>
    <xf numFmtId="0" fontId="25" fillId="8" borderId="99" xfId="3" applyFont="1" applyFill="1" applyBorder="1" applyAlignment="1">
      <alignment horizontal="left" vertical="top" wrapText="1"/>
    </xf>
    <xf numFmtId="0" fontId="25" fillId="8" borderId="100" xfId="3" applyFont="1" applyFill="1" applyBorder="1" applyAlignment="1">
      <alignment horizontal="left" vertical="top" wrapText="1"/>
    </xf>
    <xf numFmtId="0" fontId="25" fillId="8" borderId="56" xfId="3" applyFont="1" applyFill="1" applyBorder="1" applyAlignment="1">
      <alignment horizontal="left"/>
    </xf>
    <xf numFmtId="0" fontId="25" fillId="8" borderId="101" xfId="3" applyFont="1" applyFill="1" applyBorder="1" applyAlignment="1">
      <alignment horizontal="left"/>
    </xf>
    <xf numFmtId="0" fontId="11" fillId="8" borderId="102" xfId="3" applyFont="1" applyFill="1" applyBorder="1" applyAlignment="1">
      <alignment horizontal="center" vertical="center"/>
    </xf>
    <xf numFmtId="0" fontId="11" fillId="8" borderId="103" xfId="3" applyFont="1" applyFill="1" applyBorder="1" applyAlignment="1">
      <alignment horizontal="center" vertical="center"/>
    </xf>
    <xf numFmtId="0" fontId="11" fillId="8" borderId="104" xfId="3" applyFont="1" applyFill="1" applyBorder="1" applyAlignment="1">
      <alignment horizontal="center" vertical="center"/>
    </xf>
    <xf numFmtId="0" fontId="11" fillId="8" borderId="105" xfId="3" applyFont="1" applyFill="1" applyBorder="1" applyAlignment="1">
      <alignment horizontal="center" vertical="center"/>
    </xf>
    <xf numFmtId="0" fontId="11" fillId="8" borderId="106" xfId="3" applyFont="1" applyFill="1" applyBorder="1" applyAlignment="1">
      <alignment horizontal="center"/>
    </xf>
    <xf numFmtId="0" fontId="11" fillId="8" borderId="107" xfId="3" applyFont="1" applyFill="1" applyBorder="1" applyAlignment="1">
      <alignment horizontal="center"/>
    </xf>
    <xf numFmtId="0" fontId="11" fillId="8" borderId="108" xfId="3" applyFont="1" applyFill="1" applyBorder="1" applyAlignment="1">
      <alignment horizontal="center"/>
    </xf>
    <xf numFmtId="0" fontId="11" fillId="8" borderId="42" xfId="3" applyFont="1" applyFill="1" applyBorder="1" applyAlignment="1">
      <alignment horizontal="center"/>
    </xf>
    <xf numFmtId="0" fontId="11" fillId="8" borderId="61" xfId="3" applyFont="1" applyFill="1" applyBorder="1" applyAlignment="1">
      <alignment horizontal="center"/>
    </xf>
    <xf numFmtId="0" fontId="11" fillId="8" borderId="62" xfId="3" applyFont="1" applyFill="1" applyBorder="1" applyAlignment="1">
      <alignment horizontal="center"/>
    </xf>
    <xf numFmtId="0" fontId="11" fillId="8" borderId="37" xfId="3" applyFont="1" applyFill="1" applyBorder="1" applyAlignment="1">
      <alignment horizontal="center"/>
    </xf>
    <xf numFmtId="0" fontId="11" fillId="8" borderId="63" xfId="3" applyFont="1" applyFill="1" applyBorder="1" applyAlignment="1">
      <alignment horizontal="center"/>
    </xf>
    <xf numFmtId="0" fontId="11" fillId="8" borderId="83" xfId="3" applyFont="1" applyFill="1" applyBorder="1" applyAlignment="1">
      <alignment horizontal="center"/>
    </xf>
    <xf numFmtId="44" fontId="11" fillId="0" borderId="96" xfId="1" applyNumberFormat="1" applyFont="1" applyFill="1" applyBorder="1" applyAlignment="1">
      <alignment horizontal="center" vertical="center"/>
    </xf>
    <xf numFmtId="44" fontId="11" fillId="0" borderId="97" xfId="1" applyNumberFormat="1" applyFont="1" applyFill="1" applyBorder="1" applyAlignment="1">
      <alignment horizontal="center" vertical="center"/>
    </xf>
    <xf numFmtId="10" fontId="0" fillId="0" borderId="98" xfId="5" applyNumberFormat="1" applyFont="1" applyFill="1" applyBorder="1" applyAlignment="1" applyProtection="1">
      <alignment horizontal="center" vertical="center"/>
    </xf>
    <xf numFmtId="10" fontId="0" fillId="0" borderId="89" xfId="5" applyNumberFormat="1" applyFont="1" applyFill="1" applyBorder="1" applyAlignment="1" applyProtection="1">
      <alignment horizontal="center" vertical="center"/>
    </xf>
    <xf numFmtId="49" fontId="11" fillId="0" borderId="86" xfId="3" applyNumberFormat="1" applyFont="1" applyFill="1" applyBorder="1" applyAlignment="1">
      <alignment horizontal="center" vertical="center"/>
    </xf>
    <xf numFmtId="49" fontId="11" fillId="0" borderId="87" xfId="3" applyNumberFormat="1" applyFont="1" applyFill="1" applyBorder="1" applyAlignment="1">
      <alignment horizontal="left" vertical="center" wrapText="1"/>
    </xf>
    <xf numFmtId="44" fontId="11" fillId="0" borderId="80" xfId="1" applyNumberFormat="1" applyFont="1" applyFill="1" applyBorder="1" applyAlignment="1">
      <alignment horizontal="center" vertical="center"/>
    </xf>
    <xf numFmtId="10" fontId="0" fillId="0" borderId="88" xfId="5" applyNumberFormat="1" applyFont="1" applyFill="1" applyBorder="1" applyAlignment="1" applyProtection="1">
      <alignment horizontal="center" vertical="center"/>
    </xf>
    <xf numFmtId="49" fontId="15" fillId="6" borderId="62" xfId="3" applyNumberFormat="1" applyFont="1" applyFill="1" applyBorder="1" applyAlignment="1">
      <alignment horizontal="center" vertical="center"/>
    </xf>
    <xf numFmtId="49" fontId="15" fillId="6" borderId="0" xfId="3" applyNumberFormat="1" applyFont="1" applyFill="1" applyBorder="1" applyAlignment="1">
      <alignment horizontal="center" vertical="center"/>
    </xf>
    <xf numFmtId="49" fontId="15" fillId="6" borderId="37" xfId="3" applyNumberFormat="1" applyFont="1" applyFill="1" applyBorder="1" applyAlignment="1">
      <alignment horizontal="center" vertical="center"/>
    </xf>
    <xf numFmtId="0" fontId="11" fillId="0" borderId="84" xfId="3" applyFont="1" applyBorder="1" applyAlignment="1">
      <alignment horizontal="left"/>
    </xf>
    <xf numFmtId="0" fontId="11" fillId="0" borderId="85" xfId="3" applyFont="1" applyBorder="1" applyAlignment="1">
      <alignment horizontal="left"/>
    </xf>
    <xf numFmtId="0" fontId="11" fillId="0" borderId="81" xfId="3" applyFont="1" applyBorder="1" applyAlignment="1">
      <alignment horizontal="left"/>
    </xf>
    <xf numFmtId="0" fontId="11" fillId="0" borderId="82" xfId="3" applyFont="1" applyBorder="1" applyAlignment="1">
      <alignment horizontal="left"/>
    </xf>
    <xf numFmtId="0" fontId="13" fillId="8" borderId="62" xfId="3" applyFont="1" applyFill="1" applyBorder="1" applyAlignment="1">
      <alignment horizontal="center" vertical="center" wrapText="1"/>
    </xf>
    <xf numFmtId="0" fontId="13" fillId="8" borderId="0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/>
    </xf>
    <xf numFmtId="0" fontId="13" fillId="8" borderId="64" xfId="3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3" fillId="0" borderId="37" xfId="3" applyFont="1" applyBorder="1" applyAlignment="1">
      <alignment horizontal="center" vertical="center" wrapText="1"/>
    </xf>
    <xf numFmtId="0" fontId="13" fillId="0" borderId="64" xfId="3" applyFont="1" applyBorder="1" applyAlignment="1">
      <alignment horizontal="center" vertical="center" wrapText="1"/>
    </xf>
    <xf numFmtId="0" fontId="13" fillId="0" borderId="83" xfId="3" applyFont="1" applyBorder="1" applyAlignment="1">
      <alignment horizontal="center" vertical="center" wrapText="1"/>
    </xf>
    <xf numFmtId="164" fontId="0" fillId="0" borderId="0" xfId="3" applyNumberFormat="1" applyFont="1" applyBorder="1" applyAlignment="1">
      <alignment horizontal="center" vertical="center"/>
    </xf>
    <xf numFmtId="164" fontId="14" fillId="0" borderId="0" xfId="3" applyNumberFormat="1" applyFont="1" applyBorder="1" applyAlignment="1">
      <alignment horizontal="center" vertical="center"/>
    </xf>
    <xf numFmtId="164" fontId="14" fillId="0" borderId="37" xfId="3" applyNumberFormat="1" applyFont="1" applyBorder="1" applyAlignment="1">
      <alignment horizontal="center" vertical="center"/>
    </xf>
  </cellXfs>
  <cellStyles count="10">
    <cellStyle name="Moeda" xfId="1" builtinId="4"/>
    <cellStyle name="Moeda 2" xfId="2" xr:uid="{00000000-0005-0000-0000-000001000000}"/>
    <cellStyle name="Normal" xfId="0" builtinId="0"/>
    <cellStyle name="Normal 2" xfId="3" xr:uid="{00000000-0005-0000-0000-000003000000}"/>
    <cellStyle name="Normal__rea 1 - projeto nosso bairro ok reajustadio nov-06" xfId="4" xr:uid="{00000000-0005-0000-0000-000004000000}"/>
    <cellStyle name="Porcentagem 2" xfId="5" xr:uid="{00000000-0005-0000-0000-000005000000}"/>
    <cellStyle name="Porcentagem_CRONOGRAMA FÍSICO-FINACEIRO CASA IONE" xfId="6" xr:uid="{00000000-0005-0000-0000-000006000000}"/>
    <cellStyle name="Separador de milhares 2" xfId="7" xr:uid="{00000000-0005-0000-0000-000007000000}"/>
    <cellStyle name="Separador de milhares_CRONOGRAMA FÍSICO-FINACEIRO CASA IONE" xfId="8" xr:uid="{00000000-0005-0000-0000-000008000000}"/>
    <cellStyle name="Vírgula" xfId="9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130970</xdr:rowOff>
    </xdr:from>
    <xdr:to>
      <xdr:col>1</xdr:col>
      <xdr:colOff>561975</xdr:colOff>
      <xdr:row>3</xdr:row>
      <xdr:rowOff>216695</xdr:rowOff>
    </xdr:to>
    <xdr:pic>
      <xdr:nvPicPr>
        <xdr:cNvPr id="2124" name="Picture 1" descr="MARAPE   BRASAO oficialb1">
          <a:extLst>
            <a:ext uri="{FF2B5EF4-FFF2-40B4-BE49-F238E27FC236}">
              <a16:creationId xmlns:a16="http://schemas.microsoft.com/office/drawing/2014/main" id="{193C371E-BE13-4E21-821C-F48EDF82C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0970"/>
          <a:ext cx="954881" cy="823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83345</xdr:rowOff>
    </xdr:from>
    <xdr:to>
      <xdr:col>0</xdr:col>
      <xdr:colOff>1257300</xdr:colOff>
      <xdr:row>3</xdr:row>
      <xdr:rowOff>169070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8195E40D-0DD4-4517-99F6-7D259DB4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345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1</xdr:col>
      <xdr:colOff>895350</xdr:colOff>
      <xdr:row>3</xdr:row>
      <xdr:rowOff>247650</xdr:rowOff>
    </xdr:to>
    <xdr:pic>
      <xdr:nvPicPr>
        <xdr:cNvPr id="5169" name="Picture 1" descr="MARAPE   BRASAO oficialb1">
          <a:extLst>
            <a:ext uri="{FF2B5EF4-FFF2-40B4-BE49-F238E27FC236}">
              <a16:creationId xmlns:a16="http://schemas.microsoft.com/office/drawing/2014/main" id="{F557B62E-3A1A-48A7-BF85-48502896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"/>
          <a:ext cx="857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MARLON/PREFEITURA%20DE%20ATILIO%20VIVACQUAL/TABELAS%20REFERENCIAIS%20DE%20PRE&#199;OS/TABELA%20REFERENCIAL%20OBRAS%20-%20IOPES%20-%202020-02%20-%20FEV/XLS/tab_DER-EDIFICA&#199;&#213;ES_2020_02_serv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TOS%20MARLON\PREFEITURA%20DE%20ATILIO%20VIVACQUAL\TABELA%20REFERENCIAL%20OBRAS%20-%20IOPES%20-%202020-02%20-%20FEV\XLS\tab_DER-EDIFICA&#199;&#213;ES_2020_02_serv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lon\Desktop\TABELA%20REFERENCIAL%20OBRAS%20-%20DER-ES%20-%202021-05%20-%20MAI\XLS\tab_DER-EDIFICA&#199;&#213;ES_2021_05_servic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MARLON/TABELAS%20REFERENCIAIS%20DE%20PRE&#199;OS/TABELA%20REFERENCIAL%20OBRAS%20-%20DER-ES%20-%202021-05%20-%20MAI/XLS/tab_DER-EDIFICA&#199;&#213;ES_2021_05_servic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MARLON/TABELAS%20REFERENCIAIS%20DE%20PRE&#199;OS/SINAPI%20MAIO%202021/SINAPI_Custo_Ref_Composicoes_Sintetico_ES_202105_NaoDesoner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MARLON/TABELAS%20REFERENCIAIS%20DE%20PRE&#199;OS/SINAPI%20MAIO%202021/SINAPI_Preco_Ref_Insumos_ES_052021_NaoDesoner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F.%20MUN.%20DE%20AT&#205;LIO%20VIV&#193;CQUA%20-%20PMAV\Sa&#250;de%20-%20Almir\USF%20-%20Projeto%20Padr&#227;o%20do%20Governo%20do%20ES\OR&#199;AMENTO%20USF%202013%20VER5%20dez12%20-%20REVIS&#195;O%20PREF.%20AT&#205;LIO%20VIV-NOV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TOS%20MARLON\PREFEITURA%20DE%20ATILIO%20VIVACQUAL\CASA%20POPULAR%20CESAN\CASA%20U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-13"/>
    </sheetNames>
    <sheetDataSet>
      <sheetData sheetId="0">
        <row r="82">
          <cell r="A82" t="str">
            <v>'010501</v>
          </cell>
        </row>
        <row r="151">
          <cell r="A151" t="str">
            <v>'040206</v>
          </cell>
          <cell r="C151" t="str">
            <v>Fôrma de tábua de madeira de 2.5 x 30.0 cm para fundações, levando-se em conta a utilização 5 vezes (incluido o material, corte, montagem, escoramento e desforma)</v>
          </cell>
        </row>
        <row r="154">
          <cell r="A154" t="str">
            <v>'040233</v>
          </cell>
          <cell r="C154" t="str">
            <v>Fornecimento, preparo e aplicação de concreto Fck=15 MPa (brita 1 e 2) - (5% de perdas já incluído no custo)</v>
          </cell>
        </row>
        <row r="160">
          <cell r="A160" t="str">
            <v>'040243</v>
          </cell>
          <cell r="C160" t="str">
            <v>Fornecimento, dobragem e colocação em fôrma, de armadura CA-50 A média, diâmetro de 6.3 a 10.0 mm</v>
          </cell>
        </row>
        <row r="162">
          <cell r="A162" t="str">
            <v>'040246</v>
          </cell>
          <cell r="C162" t="str">
            <v>Fornecimento, dobragem e colocação em fôrma, de armadura CA-60 B fina, diâmetro de 4.0 a 7.0mm</v>
          </cell>
        </row>
        <row r="227">
          <cell r="A227" t="str">
            <v>'050606</v>
          </cell>
          <cell r="C227" t="str">
            <v>Alvenaria de blocos cerâmicos 10 furos 10x20x20cm, assentados c/argamassa de cimento, cal hidratada CH1 e areia traço 1:0,5:8, esp. das juntas 12mm e esp. das paredes s/revestimento, 10cm (bloco comprado na fábrica, posto obra)</v>
          </cell>
        </row>
        <row r="370">
          <cell r="A370" t="str">
            <v>'120101</v>
          </cell>
          <cell r="C370" t="str">
            <v>Chapisco de argamassa de cimento e areia média ou grossa lavada, no traço 1:3, espessura 5 mm</v>
          </cell>
        </row>
        <row r="390">
          <cell r="A390" t="str">
            <v>'130103</v>
          </cell>
          <cell r="C390" t="str">
            <v>Regularização de base p/ revestimento cerâmico, com argamassa de cimento e areia no traço 1:5, espessura 3cm</v>
          </cell>
        </row>
        <row r="419">
          <cell r="A419" t="str">
            <v>'130303</v>
          </cell>
        </row>
        <row r="422">
          <cell r="A422" t="str">
            <v>'130308</v>
          </cell>
          <cell r="C422" t="str">
            <v>Soleira de granito esp. 2 cm e largura de 15 cm</v>
          </cell>
        </row>
        <row r="425">
          <cell r="A425" t="str">
            <v>'130317</v>
          </cell>
          <cell r="C425" t="str">
            <v>Peitoril de granito cinza polido, 15 cm, esp. 3cm</v>
          </cell>
        </row>
        <row r="671">
          <cell r="A671" t="str">
            <v>'151318</v>
          </cell>
        </row>
        <row r="1073">
          <cell r="A1073" t="str">
            <v>'190115</v>
          </cell>
          <cell r="C1073" t="str">
            <v>Pintura com tinta látex PVA, marcas de referência Suvinil, Coral ou Metalatex, inclusive selador, em paredes e forros, a duas demãos</v>
          </cell>
        </row>
        <row r="1090">
          <cell r="A1090" t="str">
            <v>'190417</v>
          </cell>
          <cell r="C1090" t="str">
            <v>Pintura com tinta esmalte sintético, marcas de referência Suvinil, Coral ou Metalatex, a duas demãos, inclusive fundo anticorrosivo a uma demão, em metal</v>
          </cell>
        </row>
        <row r="1132">
          <cell r="A1132" t="str">
            <v>'200401</v>
          </cell>
          <cell r="C1132" t="str">
            <v>Limpeza geral da obra (edificação)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-13"/>
    </sheetNames>
    <sheetDataSet>
      <sheetData sheetId="0" refreshError="1">
        <row r="82">
          <cell r="A82" t="str">
            <v>0105</v>
          </cell>
          <cell r="C82" t="str">
            <v>Locação de obra com gabarito de madeira</v>
          </cell>
        </row>
        <row r="86">
          <cell r="A86" t="str">
            <v>'020305</v>
          </cell>
          <cell r="C86" t="str">
            <v>Placa de obra nas dimensões de 2.0 x 4.0 m, padrão IOPES</v>
          </cell>
        </row>
        <row r="129">
          <cell r="A129" t="str">
            <v>'030101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"/>
    </sheetNames>
    <sheetDataSet>
      <sheetData sheetId="0">
        <row r="82">
          <cell r="F82">
            <v>9.39</v>
          </cell>
        </row>
        <row r="86">
          <cell r="G86">
            <v>286.43</v>
          </cell>
        </row>
        <row r="129">
          <cell r="F129">
            <v>45.66</v>
          </cell>
        </row>
        <row r="151">
          <cell r="G151">
            <v>69.349999999999994</v>
          </cell>
        </row>
        <row r="154">
          <cell r="F154">
            <v>527.97</v>
          </cell>
        </row>
        <row r="160">
          <cell r="G160">
            <v>13.3</v>
          </cell>
        </row>
        <row r="162">
          <cell r="G162">
            <v>15.8</v>
          </cell>
        </row>
        <row r="227">
          <cell r="G227">
            <v>56.47</v>
          </cell>
        </row>
        <row r="368">
          <cell r="G368">
            <v>5.66</v>
          </cell>
        </row>
        <row r="370">
          <cell r="G370">
            <v>70.760000000000005</v>
          </cell>
        </row>
        <row r="388">
          <cell r="G388">
            <v>19.73</v>
          </cell>
        </row>
        <row r="417">
          <cell r="G417">
            <v>13.3</v>
          </cell>
        </row>
        <row r="420">
          <cell r="G420">
            <v>39.79</v>
          </cell>
        </row>
        <row r="423">
          <cell r="G423">
            <v>69.510000000000005</v>
          </cell>
        </row>
        <row r="766">
          <cell r="G766">
            <v>197.57</v>
          </cell>
        </row>
        <row r="1069">
          <cell r="G1069">
            <v>16.829999999999998</v>
          </cell>
        </row>
        <row r="1086">
          <cell r="G1086">
            <v>19.14</v>
          </cell>
        </row>
        <row r="1128">
          <cell r="G1128">
            <v>9.84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"/>
    </sheetNames>
    <sheetDataSet>
      <sheetData sheetId="0">
        <row r="123">
          <cell r="A123" t="str">
            <v>'020809</v>
          </cell>
          <cell r="C123" t="str">
            <v>Galpão para corte e armação com área de 6.00m2, de peças de madeira 8x8cm e contraventamento de 5x7cm, cobertura de telhas de fibroc. de 6mm, inclusive ponto e cabo de alimentação da máquina, conf. projeto (2 utilizações)</v>
          </cell>
          <cell r="G123">
            <v>171.3</v>
          </cell>
        </row>
        <row r="135">
          <cell r="A135" t="str">
            <v>'030201</v>
          </cell>
          <cell r="C135" t="str">
            <v>Reaterro apiloado de cavas de fundação, em camadas de 20 cm</v>
          </cell>
          <cell r="G135">
            <v>49.18</v>
          </cell>
        </row>
        <row r="140">
          <cell r="A140" t="str">
            <v>'030208</v>
          </cell>
          <cell r="C140" t="str">
            <v>Aterro manual para regularização do terreno em argila, inclusive adensamento manual e fornecimento do material (máximo de 100m3)</v>
          </cell>
          <cell r="G140">
            <v>123.9</v>
          </cell>
        </row>
        <row r="153">
          <cell r="A153" t="str">
            <v>'040231</v>
          </cell>
          <cell r="C153" t="str">
            <v>Fornecimento, preparo e aplicação de concreto magro com consumo mínimo de cimento de 250 kg/m3 (brita 1 e 2) - (5% de perdas já incluído no custo)</v>
          </cell>
          <cell r="G153">
            <v>509.98</v>
          </cell>
        </row>
        <row r="155">
          <cell r="A155" t="str">
            <v>'040235</v>
          </cell>
          <cell r="C155" t="str">
            <v>Fornecimento, preparo e aplicação de concreto Fck=20 MPa (brita 1 e 2) - (5% de perdas já incluído no custo)</v>
          </cell>
          <cell r="G155">
            <v>545.54999999999995</v>
          </cell>
        </row>
        <row r="169">
          <cell r="A169" t="str">
            <v>'040322</v>
          </cell>
          <cell r="C169" t="str">
            <v>Fornecimento, preparo e aplicação de concreto Fck=20 MPa (brita 1 e 2) - (5% de perdas já incluído no custo)</v>
          </cell>
          <cell r="G169">
            <v>635.29</v>
          </cell>
        </row>
        <row r="171">
          <cell r="A171" t="str">
            <v>'040328</v>
          </cell>
          <cell r="C171" t="str">
            <v>Fornecimento, dobragem e colocação em fôrma, de armadura CA-50 A média, diâmetro de 6.3 a 10.0 mm</v>
          </cell>
          <cell r="G171">
            <v>13.3</v>
          </cell>
        </row>
        <row r="176">
          <cell r="A176" t="str">
            <v>'040333</v>
          </cell>
          <cell r="C176" t="str">
            <v>Fornecimento, dobragem e colocação em fôrma, de armadura CA-60 B fina, diâmetro de 4.0 a 7.0mm</v>
          </cell>
          <cell r="G176">
            <v>15.8</v>
          </cell>
        </row>
        <row r="177">
          <cell r="A177" t="str">
            <v>'040337</v>
          </cell>
          <cell r="C177" t="str">
            <v>Fôrma em chapa de madeira compensada plastificada 12mm para estrutura em geral, 5 reaproveitamentos, reforçada com sarrafos de madeira 2.5x10cm (incl material, corte, montagem, escoras em eucalipto e desforma)</v>
          </cell>
          <cell r="G177">
            <v>90.15</v>
          </cell>
        </row>
        <row r="182">
          <cell r="A182" t="str">
            <v>'040601</v>
          </cell>
          <cell r="C182" t="str">
            <v>Laje pré-fabricada treliçada para forro simples revestido, vão até 3.5m, capeamento 2cm, esp. 10cm, Fck = 150Kg/cm2</v>
          </cell>
          <cell r="G182">
            <v>98.5</v>
          </cell>
        </row>
        <row r="216">
          <cell r="A216" t="str">
            <v>'050301</v>
          </cell>
          <cell r="C216" t="str">
            <v>Verga/contraverga reta de concreto armado 10 x 5 cm, Fck = 15 MPa, inclusive forma, armação e desforma</v>
          </cell>
          <cell r="G216">
            <v>9.0399999999999991</v>
          </cell>
        </row>
        <row r="234">
          <cell r="A234" t="str">
            <v>'060103</v>
          </cell>
          <cell r="C234" t="str">
            <v>Marco de madeira de lei de 1ª (Peroba, Ipê, Angelim Pedra ou equivalente) com 15x3 cm de batente, nas dimensões de 0.80 x 2.10 m</v>
          </cell>
          <cell r="G234">
            <v>307.31</v>
          </cell>
        </row>
        <row r="236">
          <cell r="A236" t="str">
            <v>'060108</v>
          </cell>
          <cell r="C236" t="str">
            <v>Marco de madeira de lei de 1ª (Peroba, Ipê, Angelim Pedra ou equivalente) com 15 x 3 cm de batente, nas dimensões de 0.90 x 2.10 m</v>
          </cell>
          <cell r="G236">
            <v>307.31</v>
          </cell>
        </row>
        <row r="237">
          <cell r="A237" t="str">
            <v>'060110</v>
          </cell>
          <cell r="C237" t="str">
            <v>Marco de madeira de lei de 1ª (Peroba, Ipê, Angelim Pedra ou equivalente)com 15 x 3 cm de batente</v>
          </cell>
          <cell r="G237">
            <v>78.41</v>
          </cell>
        </row>
        <row r="252">
          <cell r="A252" t="str">
            <v>'061303</v>
          </cell>
          <cell r="C252" t="str">
            <v>Porta em madeira de lei tipo angelim pedra ou equiv.c/enchimento em madeira 1a.qualidade esp. 30mm p/ pintura, inclusive alizares, dobradiças e fechadura externa em latão cromado LaFonte ou equiv., exclusive marco, nas dim.: 0.80 x 2.10 m</v>
          </cell>
          <cell r="G252">
            <v>854.27</v>
          </cell>
        </row>
        <row r="253">
          <cell r="A253" t="str">
            <v>'061304</v>
          </cell>
          <cell r="C253" t="str">
            <v>Porta em madeira de lei tipo angelim pedra ou equiv.c/enchimento em madeira 1a.qualidade esp. 30mm p/ pintura, inclusive alizares, dobradiças e fechadura externa em latão cromado LaFonte ou equiv., exclusive marco, nas dim.: 0.90 x 2.10 m</v>
          </cell>
          <cell r="G253">
            <v>902.75</v>
          </cell>
        </row>
        <row r="296">
          <cell r="A296" t="str">
            <v>'071701</v>
          </cell>
          <cell r="C296" t="str">
            <v>Janela de correr para vidro em alumínio anodizado cor natural, linha 25, completa, incl. puxador com tranca, alizar, caixilho e contramarco, exclusive vidro</v>
          </cell>
          <cell r="G296">
            <v>576.08000000000004</v>
          </cell>
        </row>
        <row r="297">
          <cell r="A297" t="str">
            <v>'071702</v>
          </cell>
          <cell r="C297" t="str">
            <v>Báscula para vidro em alumínio anodizado cor natural, linha 25, completa, com tranca, caixilho, alizar e contramarco, exclusive vidro</v>
          </cell>
          <cell r="G297">
            <v>684.25</v>
          </cell>
        </row>
        <row r="305">
          <cell r="A305" t="str">
            <v>'080102</v>
          </cell>
          <cell r="C305" t="str">
            <v>Vidro plano transparente liso, com 4 mm de espessura</v>
          </cell>
          <cell r="G305">
            <v>271.33</v>
          </cell>
        </row>
        <row r="328">
          <cell r="C328" t="str">
            <v>Telha em aço galvalume trapezoidal 40, e=0.50mm, pintura cor branca nas duas faces, inclusive acessório de fixação Ref. Santo André, Eternit, Metform ou equivalente</v>
          </cell>
          <cell r="G328">
            <v>93.55</v>
          </cell>
        </row>
        <row r="333">
          <cell r="A333" t="str">
            <v>'090312</v>
          </cell>
          <cell r="C333" t="str">
            <v>Calha em chapa galvanizada com largura de 40 cm</v>
          </cell>
          <cell r="G333">
            <v>132.11000000000001</v>
          </cell>
        </row>
        <row r="334">
          <cell r="A334" t="str">
            <v>'090314</v>
          </cell>
          <cell r="C334" t="str">
            <v>Rufo de chapa de alumínio esp. 0.5mm, largura de 30cm</v>
          </cell>
          <cell r="F334">
            <v>45.05</v>
          </cell>
        </row>
        <row r="336">
          <cell r="A336" t="str">
            <v>'090403</v>
          </cell>
          <cell r="C336" t="str">
            <v>Platibanda de alvenaria de bloco cerâmico 10x20x20cm, assentado com argamassa de cimento, cal hidratada CH1 e areia no traço 1:0,5:8, amarrada com pilaretes em conc. arm. a cada 2m (H=1.0m), excl. revest.</v>
          </cell>
          <cell r="G336">
            <v>107.93</v>
          </cell>
        </row>
        <row r="357">
          <cell r="A357" t="str">
            <v>'110101</v>
          </cell>
          <cell r="C357" t="str">
            <v>Chapisco com argamassa de cimento e areia média ou grossa lavada no traço 1:3, espessura 5 mm</v>
          </cell>
          <cell r="G357">
            <v>11.1</v>
          </cell>
        </row>
        <row r="362">
          <cell r="A362" t="str">
            <v>'110301</v>
          </cell>
          <cell r="C362" t="str">
            <v>Emboço de argamassa de cimento, cal hidratada CH1 e areia lavada traço 1:0.5:6, espessura 20 mm</v>
          </cell>
          <cell r="G362">
            <v>31.04</v>
          </cell>
        </row>
        <row r="383">
          <cell r="A383" t="str">
            <v>'120303</v>
          </cell>
          <cell r="C383" t="str">
            <v>Reboco tipo paulista de argamassa de cimento, cal hidratada CH1 e areia média ou grossa lavada no traço 1:0.5:6, espessura 25 mm</v>
          </cell>
          <cell r="G383">
            <v>47.48</v>
          </cell>
        </row>
        <row r="391">
          <cell r="A391" t="str">
            <v>'130110</v>
          </cell>
          <cell r="C391" t="str">
            <v>Lastro regularizado de concreto não estrutural, espessura de 8 cm</v>
          </cell>
          <cell r="G391">
            <v>51.9</v>
          </cell>
        </row>
        <row r="402">
          <cell r="A402" t="str">
            <v>'130219</v>
          </cell>
          <cell r="C402" t="str">
            <v>Piso cerâmico 45x45cm, PEI 5, Cargo Plus Gray, marcas de referência Eliane, Cecrisa ou Portobello, assentado com argamassa de cimento colante, inclusive rejuntamento</v>
          </cell>
          <cell r="G402">
            <v>68.209999999999994</v>
          </cell>
        </row>
        <row r="417">
          <cell r="C417" t="str">
            <v>Rodapé de cerâmica PEI-3, assentado com argamassa de cimento cola h = 7.0 cm, inclusive rejuntamento com cimento branco</v>
          </cell>
        </row>
        <row r="442">
          <cell r="A442" t="str">
            <v>'140701</v>
          </cell>
          <cell r="C442" t="str">
            <v>Ponto de água fria (lavatório, tanque, pia de cozinha, etc...)</v>
          </cell>
          <cell r="G442">
            <v>86.57</v>
          </cell>
        </row>
        <row r="443">
          <cell r="A443" t="str">
            <v>'140702</v>
          </cell>
          <cell r="C443" t="str">
            <v>Ponto com registro de pressão (chuveiro, caixa de descarga, etc...)</v>
          </cell>
          <cell r="G443">
            <v>198.77</v>
          </cell>
        </row>
        <row r="446">
          <cell r="A446" t="str">
            <v>'140705</v>
          </cell>
          <cell r="C446" t="str">
            <v>Ponto para esgoto primário (vaso sanitário)</v>
          </cell>
          <cell r="G446">
            <v>103.65</v>
          </cell>
        </row>
        <row r="447">
          <cell r="A447" t="str">
            <v>'140706</v>
          </cell>
          <cell r="C447" t="str">
            <v>Ponto para esgoto secundário (pia, lavatório, mictório, tanque, bidê, etc...)</v>
          </cell>
          <cell r="G447">
            <v>82.24</v>
          </cell>
        </row>
        <row r="449">
          <cell r="A449" t="str">
            <v>'140708</v>
          </cell>
          <cell r="C449" t="str">
            <v>Ponto para ralo sifonado, inclusive ralo sifonado 100 x 40 mm c/ grelha em pvc</v>
          </cell>
          <cell r="G449">
            <v>77.58</v>
          </cell>
        </row>
        <row r="464">
          <cell r="A464" t="str">
            <v>'141101</v>
          </cell>
          <cell r="C464" t="str">
            <v>Caixas de inspeção de alv. blocos concreto 9x19x39cm, dim, 60x60cm e Hmáx = 1m, com tampa de conc. esp. 5cm, lastro de conc. esp. 10cm, revest intern. c/ chapisco e reboco impermeabilizado, incl. escavação, reaterro e enchimento</v>
          </cell>
          <cell r="G464">
            <v>462.19</v>
          </cell>
        </row>
        <row r="489">
          <cell r="A489" t="str">
            <v>'141409</v>
          </cell>
          <cell r="C489" t="str">
            <v>Tubo de PVC rígido soldável marrom, diâm. 20mm (1/2"), inclusive conexões</v>
          </cell>
          <cell r="G489">
            <v>17.55</v>
          </cell>
        </row>
        <row r="490">
          <cell r="A490" t="str">
            <v>'141410</v>
          </cell>
          <cell r="C490" t="str">
            <v>Tubo de PVC rígido soldável marrom, diâm. 25mm (3/4"), inclusive conexões</v>
          </cell>
          <cell r="G490">
            <v>20.76</v>
          </cell>
        </row>
        <row r="505">
          <cell r="A505" t="str">
            <v>'141906</v>
          </cell>
          <cell r="C505" t="str">
            <v>Tubo de PVC rígido soldável branco, para esgoto, diâmetro 40mm (1 1/2"), inclusive conexões</v>
          </cell>
          <cell r="G505">
            <v>31.28</v>
          </cell>
        </row>
        <row r="506">
          <cell r="A506" t="str">
            <v>'141907</v>
          </cell>
          <cell r="C506" t="str">
            <v>Tubo de PVC rígido soldável branco, para esgoto, diâmetro 50mm (2"), inclusive conexões</v>
          </cell>
          <cell r="G506">
            <v>39.58</v>
          </cell>
        </row>
        <row r="508">
          <cell r="A508" t="str">
            <v>'141909</v>
          </cell>
          <cell r="C508" t="str">
            <v>Tubo de PVC rígido soldável branco, para esgoto, diâmetro 100mm (4"), inclusive conexões</v>
          </cell>
          <cell r="G508">
            <v>65.62</v>
          </cell>
        </row>
        <row r="547">
          <cell r="C547" t="str">
            <v>Quadro de distribuição em PVC para 06 circuitos, inclusive 4 disjuntores monopolares de 15A</v>
          </cell>
          <cell r="G547">
            <v>364.05</v>
          </cell>
        </row>
        <row r="548">
          <cell r="C548" t="str">
            <v>Quadro de distribuição de energia em PVC, de embutir, com 12 divisões modulares com barramento</v>
          </cell>
          <cell r="G548">
            <v>267.05</v>
          </cell>
        </row>
        <row r="651">
          <cell r="C651" t="str">
            <v>Mini-Disjuntor monopolar 16 A, curva C - 5KA 220/127VCA (NBR IEC 60947-2), Ref. Siemens, GE, Schneider ou equivalente</v>
          </cell>
          <cell r="G651">
            <v>19</v>
          </cell>
        </row>
        <row r="656">
          <cell r="A656" t="str">
            <v>'151306</v>
          </cell>
          <cell r="C656" t="str">
            <v>Mini-Disjuntor bipolar 16 A, curva C - 5KA 220/127VCA (NBR IEC 60947-2), Ref. Siemens, GE, Schneider ou equivalente</v>
          </cell>
          <cell r="G656">
            <v>53.36</v>
          </cell>
        </row>
        <row r="671">
          <cell r="A671" t="str">
            <v>'151322</v>
          </cell>
          <cell r="C671" t="str">
            <v>Mini-Disjuntor bipolar 32 A, curva C - 5KA 220/127VCA (NBR IEC 60947-2), Ref. Siemens, GE, Schneider ou equivalente</v>
          </cell>
          <cell r="G671">
            <v>53.36</v>
          </cell>
        </row>
        <row r="768">
          <cell r="A768" t="str">
            <v>'151803</v>
          </cell>
          <cell r="C768" t="str">
            <v>Ponto padrão de tomada 2 pólos mais terra - considerando eletroduto PVC rígido de 3/4" inclusive conexões (5.0m), fio isolado PVC de 2.5mm2 (16.5m) e caixa pvc 4x2" (1 und)</v>
          </cell>
          <cell r="G768">
            <v>199.57</v>
          </cell>
        </row>
        <row r="770">
          <cell r="A770" t="str">
            <v>'151806</v>
          </cell>
          <cell r="C770" t="str">
            <v>Ponto padrão de tomada para ar refrigerado - considerando eletroduto PVC rígido de 3/4" inclusive conexões (6.0m), fio isolado PVC de 4.0mm2 (21.6m) e caixa PVC 4x2" (1 und)</v>
          </cell>
          <cell r="G770">
            <v>295.11</v>
          </cell>
        </row>
        <row r="774">
          <cell r="A774" t="str">
            <v>'151811</v>
          </cell>
          <cell r="C774" t="str">
            <v>Ponto padrão de interruptor de 1 tecla simples e 1 tomada dois pólos mais terra 10A/250V - considerando eletroduto PVC rígido de 3/4" inclusive conexões (4.5m), fio isolado PVC de 2.5mm2 (19.4m) e caixa PVC 4x2" (1 und)</v>
          </cell>
          <cell r="G774">
            <v>210.78</v>
          </cell>
        </row>
        <row r="900">
          <cell r="A900" t="str">
            <v>'170111</v>
          </cell>
          <cell r="C900" t="str">
            <v>Papeleira de louça branca, 15x15cm, marcas de referência Deca, Celite ou Ideal Standard.</v>
          </cell>
          <cell r="G900">
            <v>91.12</v>
          </cell>
        </row>
        <row r="902">
          <cell r="A902" t="str">
            <v>'170115</v>
          </cell>
          <cell r="C902" t="str">
            <v>Cuba louça de embutir redonda, 30cm, L-41, completa, marcas de referência Deca, Celite ou Ideal Standard, incl. válvula e sifão, exclusive torneira</v>
          </cell>
          <cell r="G902">
            <v>336.1</v>
          </cell>
        </row>
        <row r="903">
          <cell r="A903" t="str">
            <v>'170116</v>
          </cell>
          <cell r="C903" t="str">
            <v>Vaso sanitário padrão popular completo com acessórios para ligação, marcas de referência Deca, Celite ou Ideal Standard, inclusive assento plástico</v>
          </cell>
          <cell r="G903">
            <v>422.74</v>
          </cell>
        </row>
        <row r="905">
          <cell r="A905" t="str">
            <v>'170118</v>
          </cell>
          <cell r="C905" t="str">
            <v>Saboneteira de louça branca de 7,5 x 15 cm, marcas de referência Deca, Celite ou Ideal Standard</v>
          </cell>
          <cell r="G905">
            <v>83.3</v>
          </cell>
        </row>
        <row r="906">
          <cell r="A906" t="str">
            <v>'170119</v>
          </cell>
          <cell r="C906" t="str">
            <v>Cabide de louça branca com um gancho, marcas de referência Deca, Celite ou Ideal Standard</v>
          </cell>
          <cell r="G906">
            <v>58.56</v>
          </cell>
        </row>
        <row r="925">
          <cell r="A925" t="str">
            <v>'170205</v>
          </cell>
          <cell r="C925" t="str">
            <v>Bancada de mármore esp. 3cm</v>
          </cell>
          <cell r="G925">
            <v>388.43</v>
          </cell>
        </row>
        <row r="930">
          <cell r="A930" t="str">
            <v>'170304</v>
          </cell>
          <cell r="C930" t="str">
            <v>Torneira pressão cromada diâm. 1/2" para lavatório, marcas de referência Fabrimar, Deca ou Docol</v>
          </cell>
          <cell r="G930">
            <v>162.22999999999999</v>
          </cell>
        </row>
        <row r="941">
          <cell r="A941" t="str">
            <v>'170320</v>
          </cell>
          <cell r="C941" t="str">
            <v>Registro de gaveta bruto diam. 20mm (3/4")</v>
          </cell>
          <cell r="G941">
            <v>58.2</v>
          </cell>
        </row>
        <row r="974">
          <cell r="A974" t="str">
            <v>'170506</v>
          </cell>
          <cell r="C974" t="str">
            <v>Reservatório de polietileno de 500 L, inclusive adaptadores com flanges de PVC e torneira de bóia de 3/4"</v>
          </cell>
          <cell r="G974">
            <v>650.9</v>
          </cell>
        </row>
        <row r="1015">
          <cell r="A1015" t="str">
            <v>'180109</v>
          </cell>
          <cell r="C1015" t="str">
            <v>Luminária para uma lâmpada fluorescente 40W, completa, c/ reator simples-127V partida rápida alto fator de potência, soquete antivibratório e lâmpada fluorescente 40W-127V</v>
          </cell>
          <cell r="G1015">
            <v>132.71</v>
          </cell>
        </row>
        <row r="1021">
          <cell r="A1021" t="str">
            <v>'180201</v>
          </cell>
          <cell r="C1021" t="str">
            <v>Tomada padrão brasileiro linha branca, NBR 14136 2 polos + terra 10A/250V, com placa 4x2"</v>
          </cell>
          <cell r="G1021">
            <v>34.79</v>
          </cell>
        </row>
        <row r="1022">
          <cell r="A1022" t="str">
            <v>'180202</v>
          </cell>
          <cell r="C1022" t="str">
            <v>Tomada padrão brasileiro linha branca, NBR 14136 2 polos + terra 20A/250V, com placa 4x2"</v>
          </cell>
          <cell r="G1022">
            <v>39.96</v>
          </cell>
        </row>
        <row r="1026">
          <cell r="A1026" t="str">
            <v>'180207</v>
          </cell>
          <cell r="C1026" t="str">
            <v>Interruptor de uma tecla simples 10A/250V e uma tomada 3 polos 10A/250V, padrão brasileiro, NBR 14136, linha branca, com placa 4x2"</v>
          </cell>
          <cell r="G1026">
            <v>58.88</v>
          </cell>
        </row>
        <row r="1112">
          <cell r="A1112" t="str">
            <v>'200209</v>
          </cell>
          <cell r="C1112" t="str">
            <v>Passeio de cimentado camurçado com argamassa de cimento e areia no traço 1:3 esp. 1.5cm, e lastro de concreto com 8cm de espessura, inclusive preparo de caixa</v>
          </cell>
          <cell r="G1112">
            <v>126.23</v>
          </cell>
        </row>
        <row r="1173">
          <cell r="A1173" t="str">
            <v>'210301</v>
          </cell>
          <cell r="C1173" t="str">
            <v>Guarda corpo de tubo de ferro galvanizado, diâm. 3" e 2", h=0.8 m inclusive pintura a óleo ou esmalte</v>
          </cell>
          <cell r="G1173">
            <v>391.73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null"/>
    </sheetNames>
    <sheetDataSet>
      <sheetData sheetId="0">
        <row r="1138">
          <cell r="K1138" t="str">
            <v>86,40</v>
          </cell>
        </row>
        <row r="2418">
          <cell r="H2418" t="str">
            <v>IMPERMEABILIZAÇÃO DE FLOREIRA OU VIGA BALDRAME COM ARGAMASSA DE CIMENTO E AREIA, COM ADITIVO IMPERMEABILIZANTE, E = 2 CM. AF_06/2018</v>
          </cell>
          <cell r="K2418" t="str">
            <v>34,23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32">
          <cell r="B332" t="str">
            <v>AR CONDICIONADO SPLIT ON/OFF, HI-WALL (PAREDE), 12000 BTUS/H, CICLO FRIO, 60 HZ, CLASSIFICACAO ENERGETICA A - SELO PROCEL, GAS HFC, CONTROLE S/ FIO</v>
          </cell>
          <cell r="E332" t="str">
            <v>1.611,04</v>
          </cell>
        </row>
        <row r="338">
          <cell r="B338" t="str">
            <v>AR CONDICIONADO SPLIT ON/OFF, HI-WALL (PAREDE), 9000 BTUS/H, CICLO FRIO, 60 HZ, CLASSIFICACAO ENERGETICA A - SELO PROCEL, GAS HFC, CONTROLE S/ FIO</v>
          </cell>
          <cell r="E338" t="str">
            <v>1.380,13</v>
          </cell>
        </row>
        <row r="3732">
          <cell r="B3732" t="str">
            <v>PORTA DE MADEIRA-DE-LEI TIPO VENEZIANA (ANGELIM OU EQUIVALENTE REGIONAL), E = *3,5* CM</v>
          </cell>
          <cell r="E3732" t="str">
            <v>309,54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planilha"/>
      <sheetName val="Crono"/>
      <sheetName val="planilha (2)"/>
      <sheetName val="Plan.revisão-nov13"/>
      <sheetName val="Cronograma revisão-nov13"/>
      <sheetName val="FUNDAÇÃO DIRETA-nov13"/>
      <sheetName val="Cronograma com implantação"/>
      <sheetName val="Composições"/>
      <sheetName val="Insumos IOPES"/>
      <sheetName val="Serviços IOPES"/>
    </sheetNames>
    <sheetDataSet>
      <sheetData sheetId="0"/>
      <sheetData sheetId="1">
        <row r="7">
          <cell r="F7"/>
        </row>
        <row r="13">
          <cell r="F13"/>
        </row>
        <row r="24">
          <cell r="F24">
            <v>405.5</v>
          </cell>
        </row>
        <row r="29">
          <cell r="F29"/>
        </row>
        <row r="44">
          <cell r="F44"/>
        </row>
        <row r="54">
          <cell r="F54"/>
        </row>
        <row r="69">
          <cell r="F69">
            <v>851.97</v>
          </cell>
        </row>
        <row r="82">
          <cell r="F82"/>
        </row>
        <row r="88">
          <cell r="F88">
            <v>12.48</v>
          </cell>
        </row>
        <row r="99">
          <cell r="F99"/>
        </row>
        <row r="103">
          <cell r="F103"/>
        </row>
        <row r="109">
          <cell r="F109">
            <v>207.16</v>
          </cell>
        </row>
        <row r="122">
          <cell r="F122"/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planilha"/>
      <sheetName val="Plan1"/>
      <sheetName val="Crono"/>
      <sheetName val="planilha (2)"/>
    </sheetNames>
    <sheetDataSet>
      <sheetData sheetId="0"/>
      <sheetData sheetId="1">
        <row r="11">
          <cell r="L11">
            <v>1477.6632</v>
          </cell>
        </row>
        <row r="21">
          <cell r="L21">
            <v>2193.8773999999999</v>
          </cell>
        </row>
        <row r="29">
          <cell r="L29">
            <v>14315.737100000002</v>
          </cell>
        </row>
        <row r="32">
          <cell r="L32">
            <v>5343.3743999999997</v>
          </cell>
        </row>
        <row r="45">
          <cell r="L45">
            <v>6083.9491999999991</v>
          </cell>
        </row>
        <row r="52">
          <cell r="L52">
            <v>13165.506000000001</v>
          </cell>
        </row>
        <row r="59">
          <cell r="L59">
            <v>4230.5120000000006</v>
          </cell>
        </row>
        <row r="66">
          <cell r="L66">
            <v>1111.1376</v>
          </cell>
        </row>
        <row r="81">
          <cell r="L81">
            <v>4360.6400000000003</v>
          </cell>
        </row>
        <row r="97">
          <cell r="L97">
            <v>3813.0452999999998</v>
          </cell>
        </row>
        <row r="103">
          <cell r="L103">
            <v>2328.3904000000002</v>
          </cell>
        </row>
        <row r="114">
          <cell r="L114">
            <v>798.57999999999993</v>
          </cell>
        </row>
        <row r="118">
          <cell r="L118">
            <v>70.847999999999999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showZeros="0" view="pageBreakPreview" zoomScaleSheetLayoutView="100" workbookViewId="0">
      <selection activeCell="D8" sqref="D8"/>
    </sheetView>
  </sheetViews>
  <sheetFormatPr defaultColWidth="9.109375" defaultRowHeight="13.2" x14ac:dyDescent="0.25"/>
  <cols>
    <col min="1" max="1" width="9.109375" style="1"/>
    <col min="2" max="2" width="31.109375" style="2" customWidth="1"/>
    <col min="3" max="3" width="12.109375" style="3" customWidth="1"/>
    <col min="4" max="4" width="13.6640625" style="4" customWidth="1"/>
    <col min="5" max="8" width="14" style="4" customWidth="1"/>
    <col min="9" max="10" width="13.44140625" style="4" customWidth="1"/>
    <col min="11" max="11" width="6.88671875" style="5" customWidth="1"/>
    <col min="12" max="12" width="13.5546875" style="4" customWidth="1"/>
    <col min="13" max="13" width="13.33203125" style="5" customWidth="1"/>
    <col min="14" max="14" width="12.33203125" style="5" customWidth="1"/>
    <col min="15" max="15" width="9.109375" style="5"/>
    <col min="16" max="16" width="10.33203125" style="5" customWidth="1"/>
    <col min="17" max="17" width="9.109375" style="5"/>
    <col min="18" max="16384" width="9.109375" style="6"/>
  </cols>
  <sheetData>
    <row r="1" spans="1:14" ht="24" customHeight="1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4" ht="17.25" customHeight="1" x14ac:dyDescent="0.25">
      <c r="A2" s="7" t="s">
        <v>1</v>
      </c>
      <c r="B2" s="8" t="s">
        <v>2</v>
      </c>
      <c r="C2" s="9"/>
      <c r="D2" s="9"/>
      <c r="E2" s="10"/>
      <c r="F2" s="10"/>
      <c r="G2" s="10"/>
      <c r="H2" s="10"/>
      <c r="I2" s="10"/>
      <c r="J2" s="11"/>
    </row>
    <row r="3" spans="1:14" ht="12.75" customHeight="1" x14ac:dyDescent="0.25">
      <c r="A3" s="7" t="s">
        <v>3</v>
      </c>
      <c r="B3" s="8" t="s">
        <v>4</v>
      </c>
      <c r="C3" s="12"/>
      <c r="D3" s="12"/>
      <c r="J3" s="13"/>
    </row>
    <row r="4" spans="1:14" ht="15" customHeight="1" x14ac:dyDescent="0.25">
      <c r="A4" s="7" t="s">
        <v>5</v>
      </c>
      <c r="B4" s="8" t="s">
        <v>6</v>
      </c>
      <c r="C4" s="14"/>
      <c r="D4" s="15"/>
      <c r="J4" s="13"/>
    </row>
    <row r="5" spans="1:14" x14ac:dyDescent="0.25">
      <c r="A5" s="16"/>
      <c r="B5" s="17"/>
      <c r="C5" s="18"/>
      <c r="D5" s="19"/>
      <c r="E5" s="20"/>
      <c r="F5" s="20"/>
      <c r="G5" s="20"/>
      <c r="H5" s="20"/>
      <c r="I5" s="20"/>
      <c r="J5" s="21"/>
      <c r="M5" s="22"/>
    </row>
    <row r="6" spans="1:14" ht="12.75" customHeight="1" x14ac:dyDescent="0.25">
      <c r="A6" s="357" t="s">
        <v>7</v>
      </c>
      <c r="B6" s="357" t="s">
        <v>8</v>
      </c>
      <c r="C6" s="358" t="s">
        <v>9</v>
      </c>
      <c r="D6" s="359" t="s">
        <v>10</v>
      </c>
      <c r="E6" s="360" t="s">
        <v>11</v>
      </c>
      <c r="F6" s="360"/>
      <c r="G6" s="360"/>
      <c r="H6" s="360"/>
      <c r="I6" s="360"/>
      <c r="J6" s="360"/>
    </row>
    <row r="7" spans="1:14" x14ac:dyDescent="0.25">
      <c r="A7" s="357"/>
      <c r="B7" s="357"/>
      <c r="C7" s="358"/>
      <c r="D7" s="359"/>
      <c r="E7" s="23" t="s">
        <v>12</v>
      </c>
      <c r="F7" s="23" t="s">
        <v>13</v>
      </c>
      <c r="G7" s="23" t="s">
        <v>14</v>
      </c>
      <c r="H7" s="23" t="s">
        <v>15</v>
      </c>
      <c r="I7" s="23" t="s">
        <v>16</v>
      </c>
      <c r="J7" s="23" t="s">
        <v>17</v>
      </c>
      <c r="L7" s="24"/>
      <c r="M7" s="25"/>
      <c r="N7" s="22"/>
    </row>
    <row r="8" spans="1:14" x14ac:dyDescent="0.25">
      <c r="A8" s="351" t="s">
        <v>18</v>
      </c>
      <c r="B8" s="355" t="s">
        <v>19</v>
      </c>
      <c r="C8" s="353" t="e">
        <f>+D8/$D$37</f>
        <v>#REF!</v>
      </c>
      <c r="D8" s="354" t="e">
        <f>#REF!</f>
        <v>#REF!</v>
      </c>
      <c r="E8" s="26">
        <v>1</v>
      </c>
      <c r="F8" s="27"/>
      <c r="G8" s="27"/>
      <c r="H8" s="27"/>
      <c r="I8" s="27"/>
      <c r="J8" s="27"/>
      <c r="L8" s="28">
        <f>SUM(E8:J8)</f>
        <v>1</v>
      </c>
      <c r="M8" s="22"/>
      <c r="N8" s="22"/>
    </row>
    <row r="9" spans="1:14" x14ac:dyDescent="0.25">
      <c r="A9" s="351"/>
      <c r="B9" s="355"/>
      <c r="C9" s="353"/>
      <c r="D9" s="354"/>
      <c r="E9" s="29" t="e">
        <f t="shared" ref="E9:J9" si="0">+E8*$D8</f>
        <v>#REF!</v>
      </c>
      <c r="F9" s="29" t="e">
        <f t="shared" si="0"/>
        <v>#REF!</v>
      </c>
      <c r="G9" s="29" t="e">
        <f t="shared" si="0"/>
        <v>#REF!</v>
      </c>
      <c r="H9" s="29" t="e">
        <f t="shared" si="0"/>
        <v>#REF!</v>
      </c>
      <c r="I9" s="29" t="e">
        <f t="shared" si="0"/>
        <v>#REF!</v>
      </c>
      <c r="J9" s="29" t="e">
        <f t="shared" si="0"/>
        <v>#REF!</v>
      </c>
      <c r="K9" s="4"/>
      <c r="L9" s="4">
        <f>SUM(K9:K9)</f>
        <v>0</v>
      </c>
      <c r="M9" s="22" t="e">
        <f>+L9-D8</f>
        <v>#REF!</v>
      </c>
    </row>
    <row r="10" spans="1:14" x14ac:dyDescent="0.25">
      <c r="A10" s="351" t="s">
        <v>20</v>
      </c>
      <c r="B10" s="352" t="s">
        <v>21</v>
      </c>
      <c r="C10" s="353" t="e">
        <f>+D10/$D$37</f>
        <v>#REF!</v>
      </c>
      <c r="D10" s="354" t="e">
        <f>#REF!</f>
        <v>#REF!</v>
      </c>
      <c r="E10" s="26">
        <v>1</v>
      </c>
      <c r="F10" s="27"/>
      <c r="G10" s="27"/>
      <c r="H10" s="27"/>
      <c r="I10" s="27"/>
      <c r="J10" s="27"/>
      <c r="K10" s="4"/>
      <c r="L10" s="28">
        <f>SUM(E10:J10)</f>
        <v>1</v>
      </c>
      <c r="M10" s="22"/>
    </row>
    <row r="11" spans="1:14" x14ac:dyDescent="0.25">
      <c r="A11" s="351"/>
      <c r="B11" s="352"/>
      <c r="C11" s="353"/>
      <c r="D11" s="354"/>
      <c r="E11" s="29" t="e">
        <f t="shared" ref="E11:J11" si="1">+E10*$D10</f>
        <v>#REF!</v>
      </c>
      <c r="F11" s="29" t="e">
        <f t="shared" si="1"/>
        <v>#REF!</v>
      </c>
      <c r="G11" s="29" t="e">
        <f t="shared" si="1"/>
        <v>#REF!</v>
      </c>
      <c r="H11" s="29" t="e">
        <f t="shared" si="1"/>
        <v>#REF!</v>
      </c>
      <c r="I11" s="29" t="e">
        <f t="shared" si="1"/>
        <v>#REF!</v>
      </c>
      <c r="J11" s="29" t="e">
        <f t="shared" si="1"/>
        <v>#REF!</v>
      </c>
      <c r="K11" s="4"/>
      <c r="L11" s="4">
        <f>SUM(K11:K11)</f>
        <v>0</v>
      </c>
      <c r="M11" s="22" t="e">
        <f>+L11-D10</f>
        <v>#REF!</v>
      </c>
    </row>
    <row r="12" spans="1:14" x14ac:dyDescent="0.25">
      <c r="A12" s="351" t="s">
        <v>22</v>
      </c>
      <c r="B12" s="352" t="s">
        <v>23</v>
      </c>
      <c r="C12" s="353" t="e">
        <f>+D12/$D$37</f>
        <v>#REF!</v>
      </c>
      <c r="D12" s="354" t="e">
        <f>#REF!</f>
        <v>#REF!</v>
      </c>
      <c r="E12" s="26">
        <v>0.6</v>
      </c>
      <c r="F12" s="26">
        <v>0.4</v>
      </c>
      <c r="G12" s="27"/>
      <c r="H12" s="27"/>
      <c r="I12" s="27"/>
      <c r="J12" s="27"/>
      <c r="K12" s="4"/>
      <c r="L12" s="28">
        <f>SUM(E12:J12)</f>
        <v>1</v>
      </c>
      <c r="M12" s="22"/>
    </row>
    <row r="13" spans="1:14" x14ac:dyDescent="0.25">
      <c r="A13" s="351"/>
      <c r="B13" s="352"/>
      <c r="C13" s="353"/>
      <c r="D13" s="354"/>
      <c r="E13" s="29" t="e">
        <f t="shared" ref="E13:J13" si="2">+E12*$D12</f>
        <v>#REF!</v>
      </c>
      <c r="F13" s="29" t="e">
        <f t="shared" si="2"/>
        <v>#REF!</v>
      </c>
      <c r="G13" s="29" t="e">
        <f t="shared" si="2"/>
        <v>#REF!</v>
      </c>
      <c r="H13" s="29" t="e">
        <f t="shared" si="2"/>
        <v>#REF!</v>
      </c>
      <c r="I13" s="29" t="e">
        <f t="shared" si="2"/>
        <v>#REF!</v>
      </c>
      <c r="J13" s="29" t="e">
        <f t="shared" si="2"/>
        <v>#REF!</v>
      </c>
      <c r="K13" s="4"/>
      <c r="L13" s="4">
        <f>SUM(K13:K13)</f>
        <v>0</v>
      </c>
      <c r="M13" s="22" t="e">
        <f>+L13-D12</f>
        <v>#REF!</v>
      </c>
    </row>
    <row r="14" spans="1:14" x14ac:dyDescent="0.25">
      <c r="A14" s="351" t="s">
        <v>24</v>
      </c>
      <c r="B14" s="352" t="s">
        <v>25</v>
      </c>
      <c r="C14" s="353" t="e">
        <f>+D14/$D$37</f>
        <v>#REF!</v>
      </c>
      <c r="D14" s="354" t="e">
        <f>#REF!</f>
        <v>#REF!</v>
      </c>
      <c r="E14" s="27"/>
      <c r="F14" s="26">
        <v>0.6</v>
      </c>
      <c r="G14" s="26">
        <v>0.4</v>
      </c>
      <c r="H14" s="27"/>
      <c r="I14" s="27"/>
      <c r="J14" s="27"/>
      <c r="K14" s="4"/>
      <c r="L14" s="28">
        <f>SUM(E14:J14)</f>
        <v>1</v>
      </c>
      <c r="M14" s="22"/>
    </row>
    <row r="15" spans="1:14" x14ac:dyDescent="0.25">
      <c r="A15" s="351"/>
      <c r="B15" s="352"/>
      <c r="C15" s="353"/>
      <c r="D15" s="354"/>
      <c r="E15" s="29" t="e">
        <f t="shared" ref="E15:J15" si="3">+E14*$D14</f>
        <v>#REF!</v>
      </c>
      <c r="F15" s="29" t="e">
        <f t="shared" si="3"/>
        <v>#REF!</v>
      </c>
      <c r="G15" s="29" t="e">
        <f t="shared" si="3"/>
        <v>#REF!</v>
      </c>
      <c r="H15" s="29" t="e">
        <f t="shared" si="3"/>
        <v>#REF!</v>
      </c>
      <c r="I15" s="29" t="e">
        <f t="shared" si="3"/>
        <v>#REF!</v>
      </c>
      <c r="J15" s="29" t="e">
        <f t="shared" si="3"/>
        <v>#REF!</v>
      </c>
      <c r="K15" s="4"/>
      <c r="L15" s="4">
        <f>SUM(K15:K15)</f>
        <v>0</v>
      </c>
      <c r="M15" s="22" t="e">
        <f>+L15-D14</f>
        <v>#REF!</v>
      </c>
    </row>
    <row r="16" spans="1:14" x14ac:dyDescent="0.25">
      <c r="A16" s="351" t="s">
        <v>26</v>
      </c>
      <c r="B16" s="352" t="s">
        <v>27</v>
      </c>
      <c r="C16" s="353" t="e">
        <f>+D16/$D$37</f>
        <v>#REF!</v>
      </c>
      <c r="D16" s="354" t="e">
        <f>#REF!</f>
        <v>#REF!</v>
      </c>
      <c r="E16" s="27"/>
      <c r="F16" s="27"/>
      <c r="G16" s="26">
        <v>0.8</v>
      </c>
      <c r="H16" s="26">
        <v>0.2</v>
      </c>
      <c r="I16" s="27"/>
      <c r="J16" s="27"/>
      <c r="K16" s="4"/>
      <c r="L16" s="28">
        <f>SUM(E16:J16)</f>
        <v>1</v>
      </c>
      <c r="M16" s="22"/>
    </row>
    <row r="17" spans="1:13" x14ac:dyDescent="0.25">
      <c r="A17" s="351"/>
      <c r="B17" s="352"/>
      <c r="C17" s="353"/>
      <c r="D17" s="354"/>
      <c r="E17" s="29" t="e">
        <f t="shared" ref="E17:J17" si="4">+E16*$D16</f>
        <v>#REF!</v>
      </c>
      <c r="F17" s="29" t="e">
        <f t="shared" si="4"/>
        <v>#REF!</v>
      </c>
      <c r="G17" s="29" t="e">
        <f t="shared" si="4"/>
        <v>#REF!</v>
      </c>
      <c r="H17" s="29" t="e">
        <f t="shared" si="4"/>
        <v>#REF!</v>
      </c>
      <c r="I17" s="29" t="e">
        <f t="shared" si="4"/>
        <v>#REF!</v>
      </c>
      <c r="J17" s="29" t="e">
        <f t="shared" si="4"/>
        <v>#REF!</v>
      </c>
      <c r="K17" s="4"/>
      <c r="L17" s="4">
        <f>SUM(K17:K17)</f>
        <v>0</v>
      </c>
      <c r="M17" s="22" t="e">
        <f>+L17-D16</f>
        <v>#REF!</v>
      </c>
    </row>
    <row r="18" spans="1:13" x14ac:dyDescent="0.25">
      <c r="A18" s="351" t="s">
        <v>28</v>
      </c>
      <c r="B18" s="352" t="s">
        <v>29</v>
      </c>
      <c r="C18" s="353" t="e">
        <f>+D18/$D$37</f>
        <v>#REF!</v>
      </c>
      <c r="D18" s="354" t="e">
        <f>#REF!</f>
        <v>#REF!</v>
      </c>
      <c r="E18" s="27"/>
      <c r="F18" s="27"/>
      <c r="G18" s="27"/>
      <c r="H18" s="26">
        <v>0.5</v>
      </c>
      <c r="I18" s="26">
        <v>0.5</v>
      </c>
      <c r="J18" s="27"/>
      <c r="K18" s="4"/>
      <c r="L18" s="28">
        <f>SUM(E18:J18)</f>
        <v>1</v>
      </c>
      <c r="M18" s="22"/>
    </row>
    <row r="19" spans="1:13" x14ac:dyDescent="0.25">
      <c r="A19" s="351"/>
      <c r="B19" s="352"/>
      <c r="C19" s="353"/>
      <c r="D19" s="354"/>
      <c r="E19" s="29" t="e">
        <f t="shared" ref="E19:J19" si="5">+E18*$D18</f>
        <v>#REF!</v>
      </c>
      <c r="F19" s="29" t="e">
        <f t="shared" si="5"/>
        <v>#REF!</v>
      </c>
      <c r="G19" s="29" t="e">
        <f t="shared" si="5"/>
        <v>#REF!</v>
      </c>
      <c r="H19" s="29" t="e">
        <f t="shared" si="5"/>
        <v>#REF!</v>
      </c>
      <c r="I19" s="29" t="e">
        <f t="shared" si="5"/>
        <v>#REF!</v>
      </c>
      <c r="J19" s="29" t="e">
        <f t="shared" si="5"/>
        <v>#REF!</v>
      </c>
      <c r="K19" s="4"/>
      <c r="L19" s="4">
        <f>SUM(K19:K19)</f>
        <v>0</v>
      </c>
      <c r="M19" s="22" t="e">
        <f>+L19-D18</f>
        <v>#REF!</v>
      </c>
    </row>
    <row r="20" spans="1:13" x14ac:dyDescent="0.25">
      <c r="A20" s="351" t="s">
        <v>30</v>
      </c>
      <c r="B20" s="352" t="s">
        <v>31</v>
      </c>
      <c r="C20" s="353" t="e">
        <f>+D20/$D$37</f>
        <v>#REF!</v>
      </c>
      <c r="D20" s="354" t="e">
        <f>#REF!</f>
        <v>#REF!</v>
      </c>
      <c r="E20" s="27"/>
      <c r="F20" s="27"/>
      <c r="G20" s="26">
        <v>0.3</v>
      </c>
      <c r="H20" s="26">
        <v>0.3</v>
      </c>
      <c r="I20" s="26">
        <v>0.4</v>
      </c>
      <c r="J20" s="27"/>
      <c r="K20" s="4"/>
      <c r="L20" s="28">
        <f>SUM(E20:J20)</f>
        <v>1</v>
      </c>
      <c r="M20" s="22"/>
    </row>
    <row r="21" spans="1:13" x14ac:dyDescent="0.25">
      <c r="A21" s="351"/>
      <c r="B21" s="352"/>
      <c r="C21" s="353"/>
      <c r="D21" s="354"/>
      <c r="E21" s="29" t="e">
        <f t="shared" ref="E21:J21" si="6">+E20*$D20</f>
        <v>#REF!</v>
      </c>
      <c r="F21" s="29" t="e">
        <f t="shared" si="6"/>
        <v>#REF!</v>
      </c>
      <c r="G21" s="29" t="e">
        <f t="shared" si="6"/>
        <v>#REF!</v>
      </c>
      <c r="H21" s="29" t="e">
        <f t="shared" si="6"/>
        <v>#REF!</v>
      </c>
      <c r="I21" s="29" t="e">
        <f t="shared" si="6"/>
        <v>#REF!</v>
      </c>
      <c r="J21" s="29" t="e">
        <f t="shared" si="6"/>
        <v>#REF!</v>
      </c>
      <c r="K21" s="4"/>
      <c r="L21" s="4">
        <f>SUM(K21:K21)</f>
        <v>0</v>
      </c>
      <c r="M21" s="22" t="e">
        <f>+L21-D20</f>
        <v>#REF!</v>
      </c>
    </row>
    <row r="22" spans="1:13" x14ac:dyDescent="0.25">
      <c r="A22" s="351" t="s">
        <v>32</v>
      </c>
      <c r="B22" s="352" t="s">
        <v>33</v>
      </c>
      <c r="C22" s="353" t="e">
        <f>+D22/$D$37</f>
        <v>#REF!</v>
      </c>
      <c r="D22" s="354" t="e">
        <f>#REF!</f>
        <v>#REF!</v>
      </c>
      <c r="E22" s="27"/>
      <c r="F22" s="27"/>
      <c r="G22" s="26">
        <v>0.2</v>
      </c>
      <c r="H22" s="26">
        <v>0.2</v>
      </c>
      <c r="I22" s="26">
        <v>0.6</v>
      </c>
      <c r="J22" s="27"/>
      <c r="K22" s="4"/>
      <c r="L22" s="28">
        <f>SUM(E22:J22)</f>
        <v>1</v>
      </c>
      <c r="M22" s="22"/>
    </row>
    <row r="23" spans="1:13" x14ac:dyDescent="0.25">
      <c r="A23" s="351"/>
      <c r="B23" s="352"/>
      <c r="C23" s="353"/>
      <c r="D23" s="354"/>
      <c r="E23" s="29" t="e">
        <f t="shared" ref="E23:J23" si="7">+E22*$D22</f>
        <v>#REF!</v>
      </c>
      <c r="F23" s="29" t="e">
        <f t="shared" si="7"/>
        <v>#REF!</v>
      </c>
      <c r="G23" s="29" t="e">
        <f t="shared" si="7"/>
        <v>#REF!</v>
      </c>
      <c r="H23" s="29" t="e">
        <f t="shared" si="7"/>
        <v>#REF!</v>
      </c>
      <c r="I23" s="29" t="e">
        <f t="shared" si="7"/>
        <v>#REF!</v>
      </c>
      <c r="J23" s="29" t="e">
        <f t="shared" si="7"/>
        <v>#REF!</v>
      </c>
      <c r="K23" s="4"/>
      <c r="L23" s="4">
        <f>SUM(K23:K23)</f>
        <v>0</v>
      </c>
      <c r="M23" s="22" t="e">
        <f>+L23-D22</f>
        <v>#REF!</v>
      </c>
    </row>
    <row r="24" spans="1:13" x14ac:dyDescent="0.25">
      <c r="A24" s="351" t="s">
        <v>34</v>
      </c>
      <c r="B24" s="352" t="s">
        <v>35</v>
      </c>
      <c r="C24" s="353" t="e">
        <f>+D24/$D$37</f>
        <v>#REF!</v>
      </c>
      <c r="D24" s="354" t="e">
        <f>#REF!</f>
        <v>#REF!</v>
      </c>
      <c r="E24" s="27"/>
      <c r="F24" s="27"/>
      <c r="G24" s="27"/>
      <c r="H24" s="30">
        <v>0.3</v>
      </c>
      <c r="I24" s="30">
        <v>0.7</v>
      </c>
      <c r="J24" s="27"/>
      <c r="K24" s="4"/>
      <c r="L24" s="28">
        <f>SUM(E24:J24)</f>
        <v>1</v>
      </c>
      <c r="M24" s="22"/>
    </row>
    <row r="25" spans="1:13" x14ac:dyDescent="0.25">
      <c r="A25" s="351"/>
      <c r="B25" s="352"/>
      <c r="C25" s="353"/>
      <c r="D25" s="354"/>
      <c r="E25" s="29" t="e">
        <f t="shared" ref="E25:J25" si="8">+E24*$D24</f>
        <v>#REF!</v>
      </c>
      <c r="F25" s="29" t="e">
        <f t="shared" si="8"/>
        <v>#REF!</v>
      </c>
      <c r="G25" s="29" t="e">
        <f t="shared" si="8"/>
        <v>#REF!</v>
      </c>
      <c r="H25" s="29" t="e">
        <f t="shared" si="8"/>
        <v>#REF!</v>
      </c>
      <c r="I25" s="29" t="e">
        <f t="shared" si="8"/>
        <v>#REF!</v>
      </c>
      <c r="J25" s="29" t="e">
        <f t="shared" si="8"/>
        <v>#REF!</v>
      </c>
      <c r="K25" s="4"/>
      <c r="L25" s="4">
        <f>SUM(K25:K25)</f>
        <v>0</v>
      </c>
      <c r="M25" s="22" t="e">
        <f>+L25-D24</f>
        <v>#REF!</v>
      </c>
    </row>
    <row r="26" spans="1:13" x14ac:dyDescent="0.25">
      <c r="A26" s="351" t="s">
        <v>36</v>
      </c>
      <c r="B26" s="352" t="s">
        <v>37</v>
      </c>
      <c r="C26" s="353" t="e">
        <f>+D26/$D$37</f>
        <v>#REF!</v>
      </c>
      <c r="D26" s="354" t="e">
        <f>#REF!</f>
        <v>#REF!</v>
      </c>
      <c r="E26" s="27"/>
      <c r="F26" s="27"/>
      <c r="G26" s="27"/>
      <c r="H26" s="26">
        <v>0.2</v>
      </c>
      <c r="I26" s="26">
        <v>0.3</v>
      </c>
      <c r="J26" s="26">
        <v>0.5</v>
      </c>
      <c r="K26" s="4"/>
      <c r="L26" s="28">
        <f>SUM(E26:J26)</f>
        <v>1</v>
      </c>
      <c r="M26" s="22"/>
    </row>
    <row r="27" spans="1:13" x14ac:dyDescent="0.25">
      <c r="A27" s="351"/>
      <c r="B27" s="352"/>
      <c r="C27" s="353"/>
      <c r="D27" s="354"/>
      <c r="E27" s="29" t="e">
        <f t="shared" ref="E27:J27" si="9">+E26*$D26</f>
        <v>#REF!</v>
      </c>
      <c r="F27" s="29" t="e">
        <f t="shared" si="9"/>
        <v>#REF!</v>
      </c>
      <c r="G27" s="29" t="e">
        <f t="shared" si="9"/>
        <v>#REF!</v>
      </c>
      <c r="H27" s="29" t="e">
        <f t="shared" si="9"/>
        <v>#REF!</v>
      </c>
      <c r="I27" s="29" t="e">
        <f t="shared" si="9"/>
        <v>#REF!</v>
      </c>
      <c r="J27" s="29" t="e">
        <f t="shared" si="9"/>
        <v>#REF!</v>
      </c>
      <c r="K27" s="4"/>
      <c r="L27" s="4">
        <f>SUM(K27:K27)</f>
        <v>0</v>
      </c>
      <c r="M27" s="22" t="e">
        <f>+L27-D26</f>
        <v>#REF!</v>
      </c>
    </row>
    <row r="28" spans="1:13" x14ac:dyDescent="0.25">
      <c r="A28" s="351" t="s">
        <v>38</v>
      </c>
      <c r="B28" s="352" t="s">
        <v>39</v>
      </c>
      <c r="C28" s="353" t="e">
        <f>+D28/$D$37</f>
        <v>#REF!</v>
      </c>
      <c r="D28" s="354" t="e">
        <f>#REF!</f>
        <v>#REF!</v>
      </c>
      <c r="E28" s="27"/>
      <c r="F28" s="27"/>
      <c r="G28" s="27"/>
      <c r="H28" s="26">
        <v>0.5</v>
      </c>
      <c r="I28" s="26">
        <v>0.5</v>
      </c>
      <c r="J28" s="27"/>
      <c r="K28" s="4"/>
      <c r="L28" s="28">
        <f>SUM(E28:J28)</f>
        <v>1</v>
      </c>
      <c r="M28" s="22"/>
    </row>
    <row r="29" spans="1:13" x14ac:dyDescent="0.25">
      <c r="A29" s="351"/>
      <c r="B29" s="352"/>
      <c r="C29" s="353"/>
      <c r="D29" s="354"/>
      <c r="E29" s="29" t="e">
        <f t="shared" ref="E29:J29" si="10">+E28*$D28</f>
        <v>#REF!</v>
      </c>
      <c r="F29" s="29" t="e">
        <f t="shared" si="10"/>
        <v>#REF!</v>
      </c>
      <c r="G29" s="29" t="e">
        <f t="shared" si="10"/>
        <v>#REF!</v>
      </c>
      <c r="H29" s="29" t="e">
        <f t="shared" si="10"/>
        <v>#REF!</v>
      </c>
      <c r="I29" s="29" t="e">
        <f t="shared" si="10"/>
        <v>#REF!</v>
      </c>
      <c r="J29" s="29" t="e">
        <f t="shared" si="10"/>
        <v>#REF!</v>
      </c>
      <c r="K29" s="4"/>
      <c r="L29" s="4">
        <f>SUM(K29:K29)</f>
        <v>0</v>
      </c>
      <c r="M29" s="22" t="e">
        <f>+L29-D28</f>
        <v>#REF!</v>
      </c>
    </row>
    <row r="30" spans="1:13" x14ac:dyDescent="0.25">
      <c r="A30" s="351" t="s">
        <v>40</v>
      </c>
      <c r="B30" s="352" t="s">
        <v>41</v>
      </c>
      <c r="C30" s="353" t="e">
        <f>+D30/$D$37</f>
        <v>#REF!</v>
      </c>
      <c r="D30" s="354" t="e">
        <f>#REF!</f>
        <v>#REF!</v>
      </c>
      <c r="E30" s="26">
        <v>0.1</v>
      </c>
      <c r="F30" s="26">
        <v>0.1</v>
      </c>
      <c r="G30" s="26">
        <v>0.1</v>
      </c>
      <c r="H30" s="26">
        <v>0.1</v>
      </c>
      <c r="I30" s="26">
        <v>0.3</v>
      </c>
      <c r="J30" s="26">
        <v>0.3</v>
      </c>
      <c r="K30" s="4"/>
      <c r="M30" s="22"/>
    </row>
    <row r="31" spans="1:13" x14ac:dyDescent="0.25">
      <c r="A31" s="351"/>
      <c r="B31" s="352"/>
      <c r="C31" s="353"/>
      <c r="D31" s="354"/>
      <c r="E31" s="29" t="e">
        <f t="shared" ref="E31:J31" si="11">+E30*$D30</f>
        <v>#REF!</v>
      </c>
      <c r="F31" s="29" t="e">
        <f t="shared" si="11"/>
        <v>#REF!</v>
      </c>
      <c r="G31" s="29" t="e">
        <f t="shared" si="11"/>
        <v>#REF!</v>
      </c>
      <c r="H31" s="29" t="e">
        <f t="shared" si="11"/>
        <v>#REF!</v>
      </c>
      <c r="I31" s="29" t="e">
        <f t="shared" si="11"/>
        <v>#REF!</v>
      </c>
      <c r="J31" s="29" t="e">
        <f t="shared" si="11"/>
        <v>#REF!</v>
      </c>
      <c r="K31" s="4"/>
      <c r="M31" s="22"/>
    </row>
    <row r="32" spans="1:13" x14ac:dyDescent="0.25">
      <c r="A32" s="351" t="s">
        <v>42</v>
      </c>
      <c r="B32" s="352" t="s">
        <v>43</v>
      </c>
      <c r="C32" s="353" t="e">
        <f>+D32/$D$37</f>
        <v>#REF!</v>
      </c>
      <c r="D32" s="354" t="e">
        <f>#REF!</f>
        <v>#REF!</v>
      </c>
      <c r="E32" s="27"/>
      <c r="F32" s="27"/>
      <c r="G32" s="27"/>
      <c r="H32" s="27"/>
      <c r="I32" s="26">
        <v>0.5</v>
      </c>
      <c r="J32" s="26">
        <v>0.5</v>
      </c>
      <c r="K32" s="4"/>
      <c r="L32" s="28">
        <f>SUM(E32:J32)</f>
        <v>1</v>
      </c>
      <c r="M32" s="22"/>
    </row>
    <row r="33" spans="1:13" x14ac:dyDescent="0.25">
      <c r="A33" s="351"/>
      <c r="B33" s="352"/>
      <c r="C33" s="353"/>
      <c r="D33" s="354"/>
      <c r="E33" s="29" t="e">
        <f t="shared" ref="E33:J33" si="12">+E32*$D32</f>
        <v>#REF!</v>
      </c>
      <c r="F33" s="29" t="e">
        <f t="shared" si="12"/>
        <v>#REF!</v>
      </c>
      <c r="G33" s="29" t="e">
        <f t="shared" si="12"/>
        <v>#REF!</v>
      </c>
      <c r="H33" s="29" t="e">
        <f t="shared" si="12"/>
        <v>#REF!</v>
      </c>
      <c r="I33" s="29" t="e">
        <f t="shared" si="12"/>
        <v>#REF!</v>
      </c>
      <c r="J33" s="29" t="e">
        <f t="shared" si="12"/>
        <v>#REF!</v>
      </c>
      <c r="K33" s="4"/>
      <c r="L33" s="4">
        <f>SUM(K33:K33)</f>
        <v>0</v>
      </c>
      <c r="M33" s="22" t="e">
        <f>+L33-D32</f>
        <v>#REF!</v>
      </c>
    </row>
    <row r="34" spans="1:13" ht="5.25" customHeight="1" x14ac:dyDescent="0.25">
      <c r="A34" s="31"/>
      <c r="B34" s="32"/>
      <c r="C34" s="33"/>
      <c r="D34" s="34"/>
      <c r="J34" s="13"/>
      <c r="K34" s="4"/>
      <c r="M34" s="22"/>
    </row>
    <row r="35" spans="1:13" x14ac:dyDescent="0.25">
      <c r="A35" s="35"/>
      <c r="B35" s="36" t="s">
        <v>44</v>
      </c>
      <c r="C35" s="37" t="e">
        <f>SUM(C8:C33)</f>
        <v>#REF!</v>
      </c>
      <c r="D35" s="38"/>
      <c r="E35" s="39" t="e">
        <f t="shared" ref="E35:J35" si="13">+E37/$D$37</f>
        <v>#REF!</v>
      </c>
      <c r="F35" s="39" t="e">
        <f t="shared" si="13"/>
        <v>#REF!</v>
      </c>
      <c r="G35" s="39" t="e">
        <f t="shared" si="13"/>
        <v>#REF!</v>
      </c>
      <c r="H35" s="39" t="e">
        <f t="shared" si="13"/>
        <v>#REF!</v>
      </c>
      <c r="I35" s="39" t="e">
        <f t="shared" si="13"/>
        <v>#REF!</v>
      </c>
      <c r="J35" s="39" t="e">
        <f t="shared" si="13"/>
        <v>#REF!</v>
      </c>
    </row>
    <row r="36" spans="1:13" x14ac:dyDescent="0.25">
      <c r="A36" s="35"/>
      <c r="B36" s="36" t="s">
        <v>45</v>
      </c>
      <c r="C36" s="40"/>
      <c r="D36" s="38"/>
      <c r="E36" s="41" t="e">
        <f>+E35</f>
        <v>#REF!</v>
      </c>
      <c r="F36" s="41" t="e">
        <f>E36+F35</f>
        <v>#REF!</v>
      </c>
      <c r="G36" s="41" t="e">
        <f>F36+G35</f>
        <v>#REF!</v>
      </c>
      <c r="H36" s="41" t="e">
        <f>G36+H35</f>
        <v>#REF!</v>
      </c>
      <c r="I36" s="41" t="e">
        <f>H36+I35</f>
        <v>#REF!</v>
      </c>
      <c r="J36" s="41" t="e">
        <f>I36+J35</f>
        <v>#REF!</v>
      </c>
    </row>
    <row r="37" spans="1:13" x14ac:dyDescent="0.25">
      <c r="A37" s="35"/>
      <c r="B37" s="36" t="s">
        <v>46</v>
      </c>
      <c r="C37" s="40"/>
      <c r="D37" s="42" t="e">
        <f>SUM(D8:D33)</f>
        <v>#REF!</v>
      </c>
      <c r="E37" s="42" t="e">
        <f t="shared" ref="E37:J37" si="14">E9+E13+E15+E17+E19+E21+E23+E25+E27+E29+E11+E33+E31</f>
        <v>#REF!</v>
      </c>
      <c r="F37" s="42" t="e">
        <f t="shared" si="14"/>
        <v>#REF!</v>
      </c>
      <c r="G37" s="42" t="e">
        <f t="shared" si="14"/>
        <v>#REF!</v>
      </c>
      <c r="H37" s="42" t="e">
        <f t="shared" si="14"/>
        <v>#REF!</v>
      </c>
      <c r="I37" s="42" t="e">
        <f t="shared" si="14"/>
        <v>#REF!</v>
      </c>
      <c r="J37" s="42" t="e">
        <f t="shared" si="14"/>
        <v>#REF!</v>
      </c>
    </row>
    <row r="38" spans="1:13" x14ac:dyDescent="0.25">
      <c r="A38" s="35"/>
      <c r="B38" s="36" t="s">
        <v>47</v>
      </c>
      <c r="C38" s="40"/>
      <c r="D38" s="38"/>
      <c r="E38" s="42" t="e">
        <f>E37</f>
        <v>#REF!</v>
      </c>
      <c r="F38" s="42" t="e">
        <f>E38+F37</f>
        <v>#REF!</v>
      </c>
      <c r="G38" s="42" t="e">
        <f>F38+G37</f>
        <v>#REF!</v>
      </c>
      <c r="H38" s="42" t="e">
        <f>G38+H37</f>
        <v>#REF!</v>
      </c>
      <c r="I38" s="42" t="e">
        <f>H38+I37</f>
        <v>#REF!</v>
      </c>
      <c r="J38" s="42" t="e">
        <f>I38+J37</f>
        <v>#REF!</v>
      </c>
    </row>
    <row r="39" spans="1:13" x14ac:dyDescent="0.25">
      <c r="A39" s="43"/>
      <c r="B39" s="44"/>
      <c r="C39" s="45"/>
      <c r="E39" s="46"/>
      <c r="F39" s="46"/>
      <c r="G39" s="46"/>
      <c r="H39" s="46"/>
      <c r="I39" s="46"/>
      <c r="J39" s="47"/>
    </row>
    <row r="40" spans="1:13" x14ac:dyDescent="0.25">
      <c r="A40" s="43"/>
      <c r="B40" s="44"/>
      <c r="C40" s="45"/>
      <c r="D40" s="48" t="e">
        <f>#REF!</f>
        <v>#REF!</v>
      </c>
      <c r="E40" s="46"/>
      <c r="F40" s="46"/>
      <c r="G40" s="46"/>
      <c r="H40" s="46"/>
      <c r="I40" s="46"/>
      <c r="J40" s="46"/>
    </row>
    <row r="41" spans="1:13" x14ac:dyDescent="0.25"/>
  </sheetData>
  <sheetProtection selectLockedCells="1" selectUnlockedCells="1"/>
  <mergeCells count="58">
    <mergeCell ref="A1:J1"/>
    <mergeCell ref="A6:A7"/>
    <mergeCell ref="B6:B7"/>
    <mergeCell ref="C6:C7"/>
    <mergeCell ref="D6:D7"/>
    <mergeCell ref="E6:J6"/>
    <mergeCell ref="A8:A9"/>
    <mergeCell ref="B8:B9"/>
    <mergeCell ref="C8:C9"/>
    <mergeCell ref="D8:D9"/>
    <mergeCell ref="A10:A11"/>
    <mergeCell ref="B10:B11"/>
    <mergeCell ref="C10:C11"/>
    <mergeCell ref="D10:D11"/>
    <mergeCell ref="A12:A13"/>
    <mergeCell ref="B12:B13"/>
    <mergeCell ref="C12:C13"/>
    <mergeCell ref="D12:D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A32:A33"/>
    <mergeCell ref="B32:B33"/>
    <mergeCell ref="C32:C33"/>
    <mergeCell ref="D32:D33"/>
    <mergeCell ref="A28:A29"/>
    <mergeCell ref="B28:B29"/>
    <mergeCell ref="C28:C29"/>
    <mergeCell ref="D28:D29"/>
    <mergeCell ref="A30:A31"/>
    <mergeCell ref="B30:B31"/>
    <mergeCell ref="C30:C31"/>
    <mergeCell ref="D30:D31"/>
  </mergeCells>
  <printOptions horizontalCentered="1" verticalCentered="1"/>
  <pageMargins left="0.51180555555555551" right="0.35416666666666669" top="0.45" bottom="0.1701388888888889" header="0.51180555555555551" footer="0.51180555555555551"/>
  <pageSetup paperSize="9" scale="80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1"/>
  <sheetViews>
    <sheetView showGridLines="0" showZeros="0" tabSelected="1" view="pageBreakPreview" zoomScale="90" zoomScaleNormal="80" zoomScaleSheetLayoutView="90" workbookViewId="0">
      <pane ySplit="6" topLeftCell="A7" activePane="bottomLeft" state="frozen"/>
      <selection pane="bottomLeft" activeCell="E11" sqref="E11"/>
    </sheetView>
  </sheetViews>
  <sheetFormatPr defaultColWidth="9.109375" defaultRowHeight="13.8" x14ac:dyDescent="0.25"/>
  <cols>
    <col min="1" max="1" width="8" style="104" customWidth="1"/>
    <col min="2" max="2" width="11.5546875" style="105" customWidth="1"/>
    <col min="3" max="3" width="78.109375" style="68" customWidth="1"/>
    <col min="4" max="4" width="8.109375" style="106" customWidth="1"/>
    <col min="5" max="5" width="11.44140625" style="236" customWidth="1"/>
    <col min="6" max="6" width="14.44140625" style="98" customWidth="1"/>
    <col min="7" max="7" width="16.5546875" style="98" bestFit="1" customWidth="1"/>
    <col min="8" max="8" width="8.33203125" style="49" customWidth="1"/>
    <col min="9" max="9" width="16" style="49" bestFit="1" customWidth="1"/>
    <col min="10" max="10" width="19.21875" style="49" bestFit="1" customWidth="1"/>
    <col min="11" max="11" width="16.77734375" style="49" bestFit="1" customWidth="1"/>
    <col min="12" max="16384" width="9.109375" style="49"/>
  </cols>
  <sheetData>
    <row r="1" spans="1:11" s="50" customFormat="1" ht="22.5" customHeight="1" thickBot="1" x14ac:dyDescent="0.3">
      <c r="A1" s="118"/>
      <c r="B1" s="119"/>
      <c r="C1" s="373" t="s">
        <v>80</v>
      </c>
      <c r="D1" s="373"/>
      <c r="E1" s="373"/>
      <c r="F1" s="373"/>
      <c r="G1" s="374"/>
    </row>
    <row r="2" spans="1:11" s="50" customFormat="1" ht="22.5" customHeight="1" thickBot="1" x14ac:dyDescent="0.3">
      <c r="A2" s="384" t="s">
        <v>93</v>
      </c>
      <c r="B2" s="385"/>
      <c r="C2" s="375" t="s">
        <v>81</v>
      </c>
      <c r="D2" s="375"/>
      <c r="E2" s="375"/>
      <c r="F2" s="375"/>
      <c r="G2" s="376"/>
    </row>
    <row r="3" spans="1:11" s="50" customFormat="1" ht="13.5" customHeight="1" x14ac:dyDescent="0.25">
      <c r="A3" s="120"/>
      <c r="B3" s="80"/>
      <c r="C3" s="79" t="s">
        <v>169</v>
      </c>
      <c r="D3" s="81"/>
      <c r="E3" s="222"/>
      <c r="F3" s="82"/>
      <c r="G3" s="121"/>
    </row>
    <row r="4" spans="1:11" s="50" customFormat="1" ht="35.25" customHeight="1" thickBot="1" x14ac:dyDescent="0.3">
      <c r="A4" s="122"/>
      <c r="B4" s="83"/>
      <c r="C4" s="194" t="s">
        <v>170</v>
      </c>
      <c r="D4" s="84"/>
      <c r="E4" s="265" t="s">
        <v>92</v>
      </c>
      <c r="F4" s="266">
        <v>44317</v>
      </c>
      <c r="G4" s="123"/>
      <c r="K4" s="50">
        <v>28.08</v>
      </c>
    </row>
    <row r="5" spans="1:11" s="50" customFormat="1" ht="27.75" customHeight="1" thickBot="1" x14ac:dyDescent="0.3">
      <c r="A5" s="377" t="s">
        <v>7</v>
      </c>
      <c r="B5" s="378" t="s">
        <v>135</v>
      </c>
      <c r="C5" s="379" t="s">
        <v>48</v>
      </c>
      <c r="D5" s="380" t="s">
        <v>49</v>
      </c>
      <c r="E5" s="381" t="s">
        <v>168</v>
      </c>
      <c r="F5" s="382"/>
      <c r="G5" s="272">
        <v>0.21440000000000001</v>
      </c>
      <c r="J5" s="262"/>
      <c r="K5" s="261"/>
    </row>
    <row r="6" spans="1:11" s="51" customFormat="1" ht="48" customHeight="1" thickBot="1" x14ac:dyDescent="0.25">
      <c r="A6" s="377"/>
      <c r="B6" s="378"/>
      <c r="C6" s="379"/>
      <c r="D6" s="380"/>
      <c r="E6" s="85" t="s">
        <v>129</v>
      </c>
      <c r="F6" s="85" t="s">
        <v>50</v>
      </c>
      <c r="G6" s="124" t="s">
        <v>89</v>
      </c>
    </row>
    <row r="7" spans="1:11" s="64" customFormat="1" ht="15" x14ac:dyDescent="0.25">
      <c r="A7" s="125">
        <v>1</v>
      </c>
      <c r="B7" s="60"/>
      <c r="C7" s="61" t="s">
        <v>19</v>
      </c>
      <c r="D7" s="62"/>
      <c r="E7" s="223"/>
      <c r="F7" s="63"/>
      <c r="G7" s="126"/>
      <c r="H7" s="108"/>
      <c r="I7" s="263" t="s">
        <v>166</v>
      </c>
      <c r="J7" s="263" t="s">
        <v>167</v>
      </c>
    </row>
    <row r="8" spans="1:11" s="68" customFormat="1" ht="16.8" customHeight="1" x14ac:dyDescent="0.25">
      <c r="A8" s="127" t="s">
        <v>52</v>
      </c>
      <c r="B8" s="65" t="str">
        <f>'[1]relatorio-13'!$A$82</f>
        <v>'010501</v>
      </c>
      <c r="C8" s="69" t="str">
        <f>'[2]relatorio-13'!$C$82</f>
        <v>Locação de obra com gabarito de madeira</v>
      </c>
      <c r="D8" s="70" t="s">
        <v>53</v>
      </c>
      <c r="E8" s="344">
        <f>'MEMORIAL DE CALCULO'!J7</f>
        <v>156.9</v>
      </c>
      <c r="F8" s="66">
        <f>J8</f>
        <v>11.403216</v>
      </c>
      <c r="G8" s="128">
        <f>ROUND(E8,2)*ROUND(F8,2)</f>
        <v>1788.66</v>
      </c>
      <c r="H8" s="67"/>
      <c r="I8" s="66">
        <f>[3]relatorio!$F$82</f>
        <v>9.39</v>
      </c>
      <c r="J8" s="264">
        <f>SUM((I8*$G$5)+I8)</f>
        <v>11.403216</v>
      </c>
    </row>
    <row r="9" spans="1:11" s="68" customFormat="1" ht="55.2" x14ac:dyDescent="0.25">
      <c r="A9" s="127" t="s">
        <v>90</v>
      </c>
      <c r="B9" s="65" t="str">
        <f>[4]relatorio!$A$123</f>
        <v>'020809</v>
      </c>
      <c r="C9" s="78" t="str">
        <f>[4]relatorio!$C$123</f>
        <v>Galpão para corte e armação com área de 6.00m2, de peças de madeira 8x8cm e contraventamento de 5x7cm, cobertura de telhas de fibroc. de 6mm, inclusive ponto e cabo de alimentação da máquina, conf. projeto (2 utilizações)</v>
      </c>
      <c r="D9" s="70" t="s">
        <v>53</v>
      </c>
      <c r="E9" s="344">
        <f>'MEMORIAL DE CALCULO'!J8</f>
        <v>1</v>
      </c>
      <c r="F9" s="66">
        <f>J9</f>
        <v>208.02672000000001</v>
      </c>
      <c r="G9" s="128">
        <f>ROUND(E9,2)*ROUND(F9,2)</f>
        <v>208.03</v>
      </c>
      <c r="H9" s="67"/>
      <c r="I9" s="66">
        <f>[4]relatorio!$G$123</f>
        <v>171.3</v>
      </c>
      <c r="J9" s="264">
        <f>SUM((I9*$G$5)+I9)</f>
        <v>208.02672000000001</v>
      </c>
    </row>
    <row r="10" spans="1:11" s="68" customFormat="1" ht="17.399999999999999" customHeight="1" x14ac:dyDescent="0.25">
      <c r="A10" s="127" t="s">
        <v>91</v>
      </c>
      <c r="B10" s="65" t="str">
        <f>'[2]relatorio-13'!$A$86</f>
        <v>'020305</v>
      </c>
      <c r="C10" s="69" t="str">
        <f>'[2]relatorio-13'!$C$86</f>
        <v>Placa de obra nas dimensões de 2.0 x 4.0 m, padrão IOPES</v>
      </c>
      <c r="D10" s="70" t="s">
        <v>53</v>
      </c>
      <c r="E10" s="344">
        <f>'MEMORIAL DE CALCULO'!J9</f>
        <v>8</v>
      </c>
      <c r="F10" s="66">
        <f>J10</f>
        <v>347.84059200000002</v>
      </c>
      <c r="G10" s="128">
        <f>ROUND(E10,2)*ROUND(F10,2)</f>
        <v>2782.72</v>
      </c>
      <c r="H10" s="67"/>
      <c r="I10" s="66">
        <f>[3]relatorio!$G$86</f>
        <v>286.43</v>
      </c>
      <c r="J10" s="264">
        <f>SUM((I10*$G$5)+I10)</f>
        <v>347.84059200000002</v>
      </c>
    </row>
    <row r="11" spans="1:11" s="53" customFormat="1" x14ac:dyDescent="0.25">
      <c r="A11" s="129"/>
      <c r="B11" s="86"/>
      <c r="C11" s="87" t="s">
        <v>54</v>
      </c>
      <c r="D11" s="88" t="s">
        <v>55</v>
      </c>
      <c r="E11" s="225"/>
      <c r="F11" s="89"/>
      <c r="G11" s="130">
        <f>SUM(G8:G10)</f>
        <v>4779.41</v>
      </c>
      <c r="H11" s="52"/>
      <c r="I11" s="89"/>
      <c r="J11" s="264"/>
    </row>
    <row r="12" spans="1:11" s="68" customFormat="1" x14ac:dyDescent="0.25">
      <c r="A12" s="132">
        <v>2</v>
      </c>
      <c r="B12" s="72"/>
      <c r="C12" s="274" t="s">
        <v>107</v>
      </c>
      <c r="D12" s="74"/>
      <c r="E12" s="226"/>
      <c r="F12" s="75"/>
      <c r="G12" s="133"/>
      <c r="H12" s="67"/>
      <c r="I12" s="75"/>
      <c r="J12" s="264"/>
    </row>
    <row r="13" spans="1:11" s="54" customFormat="1" ht="15.6" customHeight="1" x14ac:dyDescent="0.25">
      <c r="A13" s="282" t="s">
        <v>56</v>
      </c>
      <c r="B13" s="76"/>
      <c r="C13" s="275" t="s">
        <v>174</v>
      </c>
      <c r="D13" s="70"/>
      <c r="E13" s="224"/>
      <c r="F13" s="90"/>
      <c r="G13" s="131"/>
      <c r="H13" s="109"/>
      <c r="I13" s="90"/>
      <c r="J13" s="264"/>
    </row>
    <row r="14" spans="1:11" s="77" customFormat="1" ht="27.6" x14ac:dyDescent="0.25">
      <c r="A14" s="283" t="s">
        <v>175</v>
      </c>
      <c r="B14" s="284" t="str">
        <f>'[2]relatorio-13'!$A$129</f>
        <v>'030101</v>
      </c>
      <c r="C14" s="307" t="s">
        <v>82</v>
      </c>
      <c r="D14" s="285" t="s">
        <v>137</v>
      </c>
      <c r="E14" s="286">
        <f>'MEMORIAL DE CALCULO'!J13</f>
        <v>27.570000000000007</v>
      </c>
      <c r="F14" s="287">
        <f>J14</f>
        <v>55.449503999999997</v>
      </c>
      <c r="G14" s="288">
        <f t="shared" ref="G14:G23" si="0">ROUND(E14,2)*ROUND(F14,2)</f>
        <v>1528.7565000000002</v>
      </c>
      <c r="H14" s="67"/>
      <c r="I14" s="66">
        <f>[3]relatorio!$F$129</f>
        <v>45.66</v>
      </c>
      <c r="J14" s="264">
        <f t="shared" ref="J14:J19" si="1">SUM((I14*$G$5)+I14)</f>
        <v>55.449503999999997</v>
      </c>
    </row>
    <row r="15" spans="1:11" s="77" customFormat="1" ht="18.600000000000001" customHeight="1" x14ac:dyDescent="0.25">
      <c r="A15" s="301" t="s">
        <v>176</v>
      </c>
      <c r="B15" s="301" t="str">
        <f>[4]relatorio!$A$135</f>
        <v>'030201</v>
      </c>
      <c r="C15" s="306" t="str">
        <f>[4]relatorio!$C$135</f>
        <v>Reaterro apiloado de cavas de fundação, em camadas de 20 cm</v>
      </c>
      <c r="D15" s="302" t="s">
        <v>137</v>
      </c>
      <c r="E15" s="303">
        <f>'MEMORIAL DE CALCULO'!J15</f>
        <v>18.810000000000006</v>
      </c>
      <c r="F15" s="300">
        <f>J15</f>
        <v>59.724192000000002</v>
      </c>
      <c r="G15" s="300">
        <f t="shared" si="0"/>
        <v>1123.3331999999998</v>
      </c>
      <c r="H15" s="67"/>
      <c r="I15" s="287">
        <f>[4]relatorio!$G$135</f>
        <v>49.18</v>
      </c>
      <c r="J15" s="298">
        <f t="shared" si="1"/>
        <v>59.724192000000002</v>
      </c>
    </row>
    <row r="16" spans="1:11" ht="27.6" x14ac:dyDescent="0.25">
      <c r="A16" s="296" t="s">
        <v>177</v>
      </c>
      <c r="B16" s="296" t="str">
        <f>[4]relatorio!$A$140</f>
        <v>'030208</v>
      </c>
      <c r="C16" s="305" t="str">
        <f>[4]relatorio!$C$140</f>
        <v>Aterro manual para regularização do terreno em argila, inclusive adensamento manual e fornecimento do material (máximo de 100m3)</v>
      </c>
      <c r="D16" s="297" t="s">
        <v>137</v>
      </c>
      <c r="E16" s="347">
        <f>'MEMORIAL DE CALCULO'!J26</f>
        <v>29.048000000000002</v>
      </c>
      <c r="F16" s="300">
        <f>J16</f>
        <v>150.46415999999999</v>
      </c>
      <c r="G16" s="300">
        <f t="shared" si="0"/>
        <v>4370.8630000000003</v>
      </c>
      <c r="I16" s="300">
        <f>[4]relatorio!$G$140</f>
        <v>123.9</v>
      </c>
      <c r="J16" s="264">
        <f t="shared" si="1"/>
        <v>150.46415999999999</v>
      </c>
    </row>
    <row r="17" spans="1:10" s="77" customFormat="1" ht="41.4" x14ac:dyDescent="0.25">
      <c r="A17" s="301" t="s">
        <v>178</v>
      </c>
      <c r="B17" s="301" t="str">
        <f>'[1]relatorio-13'!$A$151</f>
        <v>'040206</v>
      </c>
      <c r="C17" s="304" t="str">
        <f>'[1]relatorio-13'!$C$151</f>
        <v>Fôrma de tábua de madeira de 2.5 x 30.0 cm para fundações, levando-se em conta a utilização 5 vezes (incluido o material, corte, montagem, escoramento e desforma)</v>
      </c>
      <c r="D17" s="302" t="s">
        <v>53</v>
      </c>
      <c r="E17" s="303">
        <f>'MEMORIAL DE CALCULO'!J29</f>
        <v>82</v>
      </c>
      <c r="F17" s="300">
        <f t="shared" ref="F17:F23" si="2">J17</f>
        <v>84.218639999999994</v>
      </c>
      <c r="G17" s="300">
        <f t="shared" si="0"/>
        <v>6906.04</v>
      </c>
      <c r="H17" s="67"/>
      <c r="I17" s="300">
        <f>[3]relatorio!$G$151</f>
        <v>69.349999999999994</v>
      </c>
      <c r="J17" s="264">
        <f t="shared" si="1"/>
        <v>84.218639999999994</v>
      </c>
    </row>
    <row r="18" spans="1:10" s="77" customFormat="1" ht="27.6" x14ac:dyDescent="0.25">
      <c r="A18" s="289" t="s">
        <v>179</v>
      </c>
      <c r="B18" s="290" t="str">
        <f>'[1]relatorio-13'!$A$162</f>
        <v>'040246</v>
      </c>
      <c r="C18" s="291" t="str">
        <f>'[1]relatorio-13'!$C$162</f>
        <v>Fornecimento, dobragem e colocação em fôrma, de armadura CA-60 B fina, diâmetro de 4.0 a 7.0mm</v>
      </c>
      <c r="D18" s="292" t="s">
        <v>138</v>
      </c>
      <c r="E18" s="293">
        <f>'MEMORIAL DE CALCULO'!J32</f>
        <v>135.45999999999998</v>
      </c>
      <c r="F18" s="294">
        <f t="shared" si="2"/>
        <v>19.187519999999999</v>
      </c>
      <c r="G18" s="295">
        <f t="shared" si="0"/>
        <v>2599.4774000000002</v>
      </c>
      <c r="H18" s="67"/>
      <c r="I18" s="294">
        <f>[3]relatorio!$G$162</f>
        <v>15.8</v>
      </c>
      <c r="J18" s="299">
        <f t="shared" si="1"/>
        <v>19.187519999999999</v>
      </c>
    </row>
    <row r="19" spans="1:10" s="77" customFormat="1" ht="30.75" customHeight="1" x14ac:dyDescent="0.25">
      <c r="A19" s="134" t="s">
        <v>180</v>
      </c>
      <c r="B19" s="76" t="str">
        <f>'[1]relatorio-13'!$A$160</f>
        <v>'040243</v>
      </c>
      <c r="C19" s="78" t="str">
        <f>'[1]relatorio-13'!$C$160</f>
        <v>Fornecimento, dobragem e colocação em fôrma, de armadura CA-50 A média, diâmetro de 6.3 a 10.0 mm</v>
      </c>
      <c r="D19" s="70" t="s">
        <v>138</v>
      </c>
      <c r="E19" s="71">
        <f>'MEMORIAL DE CALCULO'!J35</f>
        <v>987.04</v>
      </c>
      <c r="F19" s="66">
        <f t="shared" si="2"/>
        <v>16.151520000000001</v>
      </c>
      <c r="G19" s="128">
        <f t="shared" si="0"/>
        <v>15940.695999999998</v>
      </c>
      <c r="H19" s="67"/>
      <c r="I19" s="66">
        <f>[3]relatorio!$G$160</f>
        <v>13.3</v>
      </c>
      <c r="J19" s="264">
        <f t="shared" si="1"/>
        <v>16.151520000000001</v>
      </c>
    </row>
    <row r="20" spans="1:10" s="77" customFormat="1" ht="41.4" x14ac:dyDescent="0.25">
      <c r="A20" s="134" t="s">
        <v>181</v>
      </c>
      <c r="B20" s="76" t="str">
        <f>[4]relatorio!$A$153</f>
        <v>'040231</v>
      </c>
      <c r="C20" s="78" t="str">
        <f>[4]relatorio!$C$153</f>
        <v>Fornecimento, preparo e aplicação de concreto magro com consumo mínimo de cimento de 250 kg/m3 (brita 1 e 2) - (5% de perdas já incluído no custo)</v>
      </c>
      <c r="D20" s="70" t="s">
        <v>137</v>
      </c>
      <c r="E20" s="71">
        <f>'MEMORIAL DE CALCULO'!J37</f>
        <v>7.6800000000000015</v>
      </c>
      <c r="F20" s="66">
        <f t="shared" si="2"/>
        <v>619.31971199999998</v>
      </c>
      <c r="G20" s="128">
        <f t="shared" si="0"/>
        <v>4756.3775999999998</v>
      </c>
      <c r="H20" s="67"/>
      <c r="I20" s="66">
        <f>[4]relatorio!$G$153</f>
        <v>509.98</v>
      </c>
      <c r="J20" s="264">
        <f t="shared" ref="J20:J21" si="3">SUM((I20*$G$5)+I20)</f>
        <v>619.31971199999998</v>
      </c>
    </row>
    <row r="21" spans="1:10" s="77" customFormat="1" ht="30.75" customHeight="1" x14ac:dyDescent="0.25">
      <c r="A21" s="134" t="s">
        <v>182</v>
      </c>
      <c r="B21" s="76" t="str">
        <f>[4]relatorio!$A$155</f>
        <v>'040235</v>
      </c>
      <c r="C21" s="78" t="str">
        <f>[4]relatorio!$C$155</f>
        <v>Fornecimento, preparo e aplicação de concreto Fck=20 MPa (brita 1 e 2) - (5% de perdas já incluído no custo)</v>
      </c>
      <c r="D21" s="70" t="s">
        <v>137</v>
      </c>
      <c r="E21" s="71">
        <f>'MEMORIAL DE CALCULO'!J40</f>
        <v>8.7600000000000016</v>
      </c>
      <c r="F21" s="66">
        <f t="shared" si="2"/>
        <v>662.51591999999994</v>
      </c>
      <c r="G21" s="128">
        <f t="shared" si="0"/>
        <v>5803.6751999999997</v>
      </c>
      <c r="H21" s="67"/>
      <c r="I21" s="66">
        <f>[4]relatorio!$G$155</f>
        <v>545.54999999999995</v>
      </c>
      <c r="J21" s="264">
        <f t="shared" si="3"/>
        <v>662.51591999999994</v>
      </c>
    </row>
    <row r="22" spans="1:10" s="77" customFormat="1" ht="30" customHeight="1" x14ac:dyDescent="0.25">
      <c r="A22" s="134" t="s">
        <v>183</v>
      </c>
      <c r="B22" s="76" t="str">
        <f>'[1]relatorio-13'!$A$154</f>
        <v>'040233</v>
      </c>
      <c r="C22" s="78" t="str">
        <f>'[1]relatorio-13'!$C$154</f>
        <v>Fornecimento, preparo e aplicação de concreto Fck=15 MPa (brita 1 e 2) - (5% de perdas já incluído no custo)</v>
      </c>
      <c r="D22" s="70" t="s">
        <v>137</v>
      </c>
      <c r="E22" s="71">
        <f>'MEMORIAL DE CALCULO'!J42</f>
        <v>4.53</v>
      </c>
      <c r="F22" s="66">
        <f t="shared" si="2"/>
        <v>641.16676800000005</v>
      </c>
      <c r="G22" s="128">
        <f t="shared" si="0"/>
        <v>2904.5000999999997</v>
      </c>
      <c r="H22" s="67"/>
      <c r="I22" s="66">
        <f>[3]relatorio!$F$154</f>
        <v>527.97</v>
      </c>
      <c r="J22" s="264">
        <f>SUM((I22*$G$5)+I22)</f>
        <v>641.16676800000005</v>
      </c>
    </row>
    <row r="23" spans="1:10" s="77" customFormat="1" ht="41.4" x14ac:dyDescent="0.25">
      <c r="A23" s="134" t="s">
        <v>184</v>
      </c>
      <c r="B23" s="117" t="s">
        <v>173</v>
      </c>
      <c r="C23" s="78" t="str">
        <f>[5]planilhanull!$H$2418</f>
        <v>IMPERMEABILIZAÇÃO DE FLOREIRA OU VIGA BALDRAME COM ARGAMASSA DE CIMENTO E AREIA, COM ADITIVO IMPERMEABILIZANTE, E = 2 CM. AF_06/2018</v>
      </c>
      <c r="D23" s="70" t="s">
        <v>53</v>
      </c>
      <c r="E23" s="71">
        <f>'MEMORIAL DE CALCULO'!J44</f>
        <v>60.400000000000006</v>
      </c>
      <c r="F23" s="66">
        <f t="shared" si="2"/>
        <v>41.568911999999997</v>
      </c>
      <c r="G23" s="128">
        <f t="shared" si="0"/>
        <v>2510.828</v>
      </c>
      <c r="H23" s="67"/>
      <c r="I23" s="276" t="str">
        <f>[5]planilhanull!$K$2418</f>
        <v>34,23</v>
      </c>
      <c r="J23" s="264">
        <f>SUM((I23*$G$5)+I23)</f>
        <v>41.568911999999997</v>
      </c>
    </row>
    <row r="24" spans="1:10" s="54" customFormat="1" ht="17.399999999999999" customHeight="1" x14ac:dyDescent="0.25">
      <c r="A24" s="282" t="s">
        <v>57</v>
      </c>
      <c r="B24" s="76"/>
      <c r="C24" s="91" t="s">
        <v>171</v>
      </c>
      <c r="D24" s="92"/>
      <c r="E24" s="224"/>
      <c r="F24" s="90"/>
      <c r="G24" s="131"/>
      <c r="H24" s="109"/>
      <c r="I24" s="90"/>
      <c r="J24" s="264"/>
    </row>
    <row r="25" spans="1:10" s="54" customFormat="1" ht="55.2" x14ac:dyDescent="0.25">
      <c r="A25" s="134" t="s">
        <v>185</v>
      </c>
      <c r="B25" s="76" t="str">
        <f>[4]relatorio!$A$177</f>
        <v>'040337</v>
      </c>
      <c r="C25" s="116" t="str">
        <f>[4]relatorio!$C$177</f>
        <v>Fôrma em chapa de madeira compensada plastificada 12mm para estrutura em geral, 5 reaproveitamentos, reforçada com sarrafos de madeira 2.5x10cm (incl material, corte, montagem, escoras em eucalipto e desforma)</v>
      </c>
      <c r="D25" s="70" t="s">
        <v>53</v>
      </c>
      <c r="E25" s="71">
        <f>'MEMORIAL DE CALCULO'!J50</f>
        <v>226.965</v>
      </c>
      <c r="F25" s="90">
        <f>J25</f>
        <v>109.47816</v>
      </c>
      <c r="G25" s="128">
        <f t="shared" ref="G25:G30" si="4">ROUND(E25,2)*ROUND(F25,2)</f>
        <v>24848.675600000002</v>
      </c>
      <c r="H25" s="109"/>
      <c r="I25" s="90">
        <f>[4]relatorio!$G$177</f>
        <v>90.15</v>
      </c>
      <c r="J25" s="264">
        <f>SUM((I25*$G$5)+I25)</f>
        <v>109.47816</v>
      </c>
    </row>
    <row r="26" spans="1:10" s="54" customFormat="1" ht="27.6" x14ac:dyDescent="0.25">
      <c r="A26" s="134" t="s">
        <v>186</v>
      </c>
      <c r="B26" s="76" t="str">
        <f>[4]relatorio!$A$169</f>
        <v>'040322</v>
      </c>
      <c r="C26" s="116" t="str">
        <f>[4]relatorio!$C$169</f>
        <v>Fornecimento, preparo e aplicação de concreto Fck=20 MPa (brita 1 e 2) - (5% de perdas já incluído no custo)</v>
      </c>
      <c r="D26" s="70" t="s">
        <v>137</v>
      </c>
      <c r="E26" s="71">
        <f>'MEMORIAL DE CALCULO'!J55</f>
        <v>13.167000000000002</v>
      </c>
      <c r="F26" s="90">
        <f t="shared" ref="F26:F28" si="5">J26</f>
        <v>771.49617599999999</v>
      </c>
      <c r="G26" s="128">
        <f t="shared" si="4"/>
        <v>10160.655000000001</v>
      </c>
      <c r="H26" s="109"/>
      <c r="I26" s="90">
        <f>[4]relatorio!$G$169</f>
        <v>635.29</v>
      </c>
      <c r="J26" s="264">
        <f t="shared" ref="J26:J28" si="6">SUM((I26*$G$5)+I26)</f>
        <v>771.49617599999999</v>
      </c>
    </row>
    <row r="27" spans="1:10" s="54" customFormat="1" ht="27.6" x14ac:dyDescent="0.25">
      <c r="A27" s="134" t="s">
        <v>187</v>
      </c>
      <c r="B27" s="76" t="str">
        <f>[4]relatorio!$A$171</f>
        <v>'040328</v>
      </c>
      <c r="C27" s="116" t="str">
        <f>[4]relatorio!$C$171</f>
        <v>Fornecimento, dobragem e colocação em fôrma, de armadura CA-50 A média, diâmetro de 6.3 a 10.0 mm</v>
      </c>
      <c r="D27" s="70" t="s">
        <v>138</v>
      </c>
      <c r="E27" s="71">
        <f>'MEMORIAL DE CALCULO'!J60</f>
        <v>2214.5</v>
      </c>
      <c r="F27" s="90">
        <f t="shared" si="5"/>
        <v>16.151520000000001</v>
      </c>
      <c r="G27" s="128">
        <f t="shared" si="4"/>
        <v>35764.174999999996</v>
      </c>
      <c r="H27" s="109"/>
      <c r="I27" s="90">
        <f>[4]relatorio!$G$171</f>
        <v>13.3</v>
      </c>
      <c r="J27" s="264">
        <f t="shared" si="6"/>
        <v>16.151520000000001</v>
      </c>
    </row>
    <row r="28" spans="1:10" s="54" customFormat="1" ht="27.6" x14ac:dyDescent="0.25">
      <c r="A28" s="134" t="s">
        <v>188</v>
      </c>
      <c r="B28" s="76" t="str">
        <f>[4]relatorio!$A$176</f>
        <v>'040333</v>
      </c>
      <c r="C28" s="116" t="str">
        <f>[4]relatorio!$C$176</f>
        <v>Fornecimento, dobragem e colocação em fôrma, de armadura CA-60 B fina, diâmetro de 4.0 a 7.0mm</v>
      </c>
      <c r="D28" s="70" t="s">
        <v>138</v>
      </c>
      <c r="E28" s="71">
        <f>'MEMORIAL DE CALCULO'!J65</f>
        <v>933.2</v>
      </c>
      <c r="F28" s="90">
        <f t="shared" si="5"/>
        <v>19.187519999999999</v>
      </c>
      <c r="G28" s="128">
        <f t="shared" si="4"/>
        <v>17908.108000000004</v>
      </c>
      <c r="H28" s="109"/>
      <c r="I28" s="90">
        <f>[4]relatorio!$G$176</f>
        <v>15.8</v>
      </c>
      <c r="J28" s="264">
        <f t="shared" si="6"/>
        <v>19.187519999999999</v>
      </c>
    </row>
    <row r="29" spans="1:10" s="54" customFormat="1" ht="27.6" x14ac:dyDescent="0.25">
      <c r="A29" s="134" t="s">
        <v>195</v>
      </c>
      <c r="B29" s="76" t="str">
        <f>[4]relatorio!$A$182</f>
        <v>'040601</v>
      </c>
      <c r="C29" s="116" t="str">
        <f>[4]relatorio!$C$182</f>
        <v>Laje pré-fabricada treliçada para forro simples revestido, vão até 3.5m, capeamento 2cm, esp. 10cm, Fck = 150Kg/cm2</v>
      </c>
      <c r="D29" s="70" t="s">
        <v>53</v>
      </c>
      <c r="E29" s="71">
        <f>'MEMORIAL DE CALCULO'!J85</f>
        <v>150.31000000000003</v>
      </c>
      <c r="F29" s="90">
        <f t="shared" ref="F29:F30" si="7">J29</f>
        <v>119.61840000000001</v>
      </c>
      <c r="G29" s="128">
        <f t="shared" si="4"/>
        <v>17980.082200000001</v>
      </c>
      <c r="H29" s="109"/>
      <c r="I29" s="90">
        <f>[4]relatorio!$G$182</f>
        <v>98.5</v>
      </c>
      <c r="J29" s="264">
        <f t="shared" ref="J29:J30" si="8">SUM((I29*$G$5)+I29)</f>
        <v>119.61840000000001</v>
      </c>
    </row>
    <row r="30" spans="1:10" s="54" customFormat="1" ht="41.4" x14ac:dyDescent="0.25">
      <c r="A30" s="134" t="s">
        <v>293</v>
      </c>
      <c r="B30" s="76">
        <v>40329</v>
      </c>
      <c r="C30" s="116" t="s">
        <v>316</v>
      </c>
      <c r="D30" s="70" t="s">
        <v>137</v>
      </c>
      <c r="E30" s="71">
        <f>'MEMORIAL DE CALCULO'!J108</f>
        <v>15.404999999999999</v>
      </c>
      <c r="F30" s="90">
        <f t="shared" si="7"/>
        <v>496.96891200000005</v>
      </c>
      <c r="G30" s="128">
        <f t="shared" si="4"/>
        <v>7658.3077000000003</v>
      </c>
      <c r="H30" s="109"/>
      <c r="I30" s="90">
        <v>409.23</v>
      </c>
      <c r="J30" s="264">
        <f t="shared" si="8"/>
        <v>496.96891200000005</v>
      </c>
    </row>
    <row r="31" spans="1:10" s="54" customFormat="1" x14ac:dyDescent="0.25">
      <c r="A31" s="129"/>
      <c r="B31" s="86"/>
      <c r="C31" s="87" t="s">
        <v>54</v>
      </c>
      <c r="D31" s="88" t="s">
        <v>55</v>
      </c>
      <c r="E31" s="227"/>
      <c r="F31" s="89"/>
      <c r="G31" s="136">
        <f>SUM(G13:G29)</f>
        <v>155106.24280000001</v>
      </c>
      <c r="H31" s="109"/>
      <c r="I31" s="90"/>
      <c r="J31" s="264"/>
    </row>
    <row r="32" spans="1:10" s="55" customFormat="1" x14ac:dyDescent="0.25">
      <c r="A32" s="135">
        <v>3</v>
      </c>
      <c r="B32" s="72"/>
      <c r="C32" s="73" t="s">
        <v>25</v>
      </c>
      <c r="D32" s="74"/>
      <c r="E32" s="226"/>
      <c r="F32" s="75"/>
      <c r="G32" s="133"/>
      <c r="H32" s="110"/>
      <c r="I32" s="75"/>
      <c r="J32" s="264"/>
    </row>
    <row r="33" spans="1:10" s="55" customFormat="1" ht="55.2" x14ac:dyDescent="0.25">
      <c r="A33" s="134" t="s">
        <v>136</v>
      </c>
      <c r="B33" s="76" t="str">
        <f>'[1]relatorio-13'!$A$227</f>
        <v>'050606</v>
      </c>
      <c r="C33" s="115" t="str">
        <f>'[1]relatorio-13'!$C$227</f>
        <v>Alvenaria de blocos cerâmicos 10 furos 10x20x20cm, assentados c/argamassa de cimento, cal hidratada CH1 e areia traço 1:0,5:8, esp. das juntas 12mm e esp. das paredes s/revestimento, 10cm (bloco comprado na fábrica, posto obra)</v>
      </c>
      <c r="D33" s="70" t="s">
        <v>53</v>
      </c>
      <c r="E33" s="71">
        <f>'MEMORIAL DE CALCULO'!J112</f>
        <v>421.95</v>
      </c>
      <c r="F33" s="90">
        <f>J33</f>
        <v>68.577168</v>
      </c>
      <c r="G33" s="131">
        <f>ROUND(E33,2)*ROUND(F33,2)</f>
        <v>28937.330999999998</v>
      </c>
      <c r="H33" s="110"/>
      <c r="I33" s="90">
        <f>[3]relatorio!$G$227</f>
        <v>56.47</v>
      </c>
      <c r="J33" s="264">
        <f t="shared" ref="J33" si="9">SUM((I33*$G$5)+I33)</f>
        <v>68.577168</v>
      </c>
    </row>
    <row r="34" spans="1:10" s="54" customFormat="1" ht="27.6" x14ac:dyDescent="0.25">
      <c r="A34" s="134" t="s">
        <v>172</v>
      </c>
      <c r="B34" s="76" t="str">
        <f>[4]relatorio!$A$216</f>
        <v>'050301</v>
      </c>
      <c r="C34" s="115" t="str">
        <f>[4]relatorio!$C$216</f>
        <v>Verga/contraverga reta de concreto armado 10 x 5 cm, Fck = 15 MPa, inclusive forma, armação e desforma</v>
      </c>
      <c r="D34" s="70" t="s">
        <v>73</v>
      </c>
      <c r="E34" s="71">
        <f>'MEMORIAL DE CALCULO'!J122</f>
        <v>18.3</v>
      </c>
      <c r="F34" s="90">
        <f>J34</f>
        <v>10.978175999999999</v>
      </c>
      <c r="G34" s="131">
        <f>ROUND(E34,2)*ROUND(F34,2)</f>
        <v>200.93400000000003</v>
      </c>
      <c r="H34" s="109"/>
      <c r="I34" s="90">
        <f>[4]relatorio!$G$216</f>
        <v>9.0399999999999991</v>
      </c>
      <c r="J34" s="264">
        <f>SUM((I34*$G$5)+I34)</f>
        <v>10.978175999999999</v>
      </c>
    </row>
    <row r="35" spans="1:10" s="54" customFormat="1" x14ac:dyDescent="0.25">
      <c r="A35" s="129"/>
      <c r="B35" s="86"/>
      <c r="C35" s="87" t="s">
        <v>54</v>
      </c>
      <c r="D35" s="88" t="s">
        <v>55</v>
      </c>
      <c r="E35" s="227"/>
      <c r="F35" s="89"/>
      <c r="G35" s="136">
        <f>SUM(G33:G34)</f>
        <v>29138.264999999999</v>
      </c>
      <c r="H35" s="109"/>
      <c r="I35" s="89"/>
      <c r="J35" s="264"/>
    </row>
    <row r="36" spans="1:10" s="54" customFormat="1" x14ac:dyDescent="0.25">
      <c r="A36" s="135">
        <v>4</v>
      </c>
      <c r="B36" s="72"/>
      <c r="C36" s="73" t="s">
        <v>58</v>
      </c>
      <c r="D36" s="74"/>
      <c r="E36" s="226"/>
      <c r="F36" s="75"/>
      <c r="G36" s="133"/>
      <c r="H36" s="109"/>
      <c r="I36" s="75"/>
      <c r="J36" s="264"/>
    </row>
    <row r="37" spans="1:10" s="281" customFormat="1" ht="27.6" x14ac:dyDescent="0.25">
      <c r="A37" s="134" t="s">
        <v>59</v>
      </c>
      <c r="B37" s="76" t="str">
        <f>[4]relatorio!$A$234</f>
        <v>'060103</v>
      </c>
      <c r="C37" s="115" t="str">
        <f>[4]relatorio!$C$234</f>
        <v>Marco de madeira de lei de 1ª (Peroba, Ipê, Angelim Pedra ou equivalente) com 15x3 cm de batente, nas dimensões de 0.80 x 2.10 m</v>
      </c>
      <c r="D37" s="70" t="s">
        <v>191</v>
      </c>
      <c r="E37" s="71">
        <f>'MEMORIAL DE CALCULO'!J125</f>
        <v>12</v>
      </c>
      <c r="F37" s="90">
        <f t="shared" ref="F37:F45" si="10">J37</f>
        <v>373.19726400000002</v>
      </c>
      <c r="G37" s="131">
        <f t="shared" ref="G37:G45" si="11">ROUND(E37,2)*ROUND(F37,2)</f>
        <v>4478.3999999999996</v>
      </c>
      <c r="H37" s="279"/>
      <c r="I37" s="278">
        <f>[4]relatorio!$G$234</f>
        <v>307.31</v>
      </c>
      <c r="J37" s="280">
        <f>SUM((I37*$G$5)+I37)</f>
        <v>373.19726400000002</v>
      </c>
    </row>
    <row r="38" spans="1:10" s="54" customFormat="1" ht="27.6" x14ac:dyDescent="0.25">
      <c r="A38" s="134" t="s">
        <v>60</v>
      </c>
      <c r="B38" s="76" t="str">
        <f>[4]relatorio!$A$236</f>
        <v>'060108</v>
      </c>
      <c r="C38" s="115" t="str">
        <f>[4]relatorio!$C$236</f>
        <v>Marco de madeira de lei de 1ª (Peroba, Ipê, Angelim Pedra ou equivalente) com 15 x 3 cm de batente, nas dimensões de 0.90 x 2.10 m</v>
      </c>
      <c r="D38" s="70" t="s">
        <v>191</v>
      </c>
      <c r="E38" s="71">
        <f>'MEMORIAL DE CALCULO'!J127</f>
        <v>1</v>
      </c>
      <c r="F38" s="66">
        <f t="shared" si="10"/>
        <v>373.19726400000002</v>
      </c>
      <c r="G38" s="131">
        <f t="shared" si="11"/>
        <v>373.2</v>
      </c>
      <c r="H38" s="114"/>
      <c r="I38" s="90">
        <f>[4]relatorio!$G$236</f>
        <v>307.31</v>
      </c>
      <c r="J38" s="264">
        <f>SUM((I38*$G$5)+I38)</f>
        <v>373.19726400000002</v>
      </c>
    </row>
    <row r="39" spans="1:10" s="54" customFormat="1" ht="27.6" x14ac:dyDescent="0.25">
      <c r="A39" s="134" t="s">
        <v>189</v>
      </c>
      <c r="B39" s="76" t="str">
        <f>[4]relatorio!$A$237</f>
        <v>'060110</v>
      </c>
      <c r="C39" s="78" t="str">
        <f>[4]relatorio!$C$237</f>
        <v>Marco de madeira de lei de 1ª (Peroba, Ipê, Angelim Pedra ou equivalente)com 15 x 3 cm de batente</v>
      </c>
      <c r="D39" s="70" t="s">
        <v>73</v>
      </c>
      <c r="E39" s="71">
        <f>'MEMORIAL DE CALCULO'!J129</f>
        <v>6.8000000000000007</v>
      </c>
      <c r="F39" s="66">
        <f t="shared" si="10"/>
        <v>95.221103999999997</v>
      </c>
      <c r="G39" s="128">
        <f t="shared" si="11"/>
        <v>647.49599999999998</v>
      </c>
      <c r="H39" s="109"/>
      <c r="I39" s="66">
        <f>[4]relatorio!$G$237</f>
        <v>78.41</v>
      </c>
      <c r="J39" s="264">
        <f>SUM((I39*$G$5)+I39)</f>
        <v>95.221103999999997</v>
      </c>
    </row>
    <row r="40" spans="1:10" s="54" customFormat="1" ht="55.2" x14ac:dyDescent="0.25">
      <c r="A40" s="134" t="s">
        <v>190</v>
      </c>
      <c r="B40" s="76" t="str">
        <f>[4]relatorio!$A$252</f>
        <v>'061303</v>
      </c>
      <c r="C40" s="78" t="str">
        <f>[4]relatorio!$C$252</f>
        <v>Porta em madeira de lei tipo angelim pedra ou equiv.c/enchimento em madeira 1a.qualidade esp. 30mm p/ pintura, inclusive alizares, dobradiças e fechadura externa em latão cromado LaFonte ou equiv., exclusive marco, nas dim.: 0.80 x 2.10 m</v>
      </c>
      <c r="D40" s="70" t="s">
        <v>191</v>
      </c>
      <c r="E40" s="71">
        <f>'MEMORIAL DE CALCULO'!J131</f>
        <v>12</v>
      </c>
      <c r="F40" s="66">
        <f t="shared" si="10"/>
        <v>1037.4254879999999</v>
      </c>
      <c r="G40" s="128">
        <f t="shared" si="11"/>
        <v>12449.16</v>
      </c>
      <c r="H40" s="109"/>
      <c r="I40" s="66">
        <f>[4]relatorio!$G$252</f>
        <v>854.27</v>
      </c>
      <c r="J40" s="264">
        <f t="shared" ref="J40:J43" si="12">SUM((I40*$G$5)+I40)</f>
        <v>1037.4254879999999</v>
      </c>
    </row>
    <row r="41" spans="1:10" s="54" customFormat="1" ht="55.2" x14ac:dyDescent="0.25">
      <c r="A41" s="134" t="s">
        <v>196</v>
      </c>
      <c r="B41" s="76" t="str">
        <f>[4]relatorio!$A$253</f>
        <v>'061304</v>
      </c>
      <c r="C41" s="78" t="str">
        <f>[4]relatorio!$C$253</f>
        <v>Porta em madeira de lei tipo angelim pedra ou equiv.c/enchimento em madeira 1a.qualidade esp. 30mm p/ pintura, inclusive alizares, dobradiças e fechadura externa em latão cromado LaFonte ou equiv., exclusive marco, nas dim.: 0.90 x 2.10 m</v>
      </c>
      <c r="D41" s="70" t="s">
        <v>191</v>
      </c>
      <c r="E41" s="71">
        <f>'MEMORIAL DE CALCULO'!J133</f>
        <v>1</v>
      </c>
      <c r="F41" s="66">
        <f t="shared" si="10"/>
        <v>1096.2996000000001</v>
      </c>
      <c r="G41" s="128">
        <f t="shared" si="11"/>
        <v>1096.3</v>
      </c>
      <c r="H41" s="109"/>
      <c r="I41" s="66">
        <f>[4]relatorio!$G$253</f>
        <v>902.75</v>
      </c>
      <c r="J41" s="264">
        <f t="shared" si="12"/>
        <v>1096.2996000000001</v>
      </c>
    </row>
    <row r="42" spans="1:10" s="54" customFormat="1" ht="27.6" x14ac:dyDescent="0.25">
      <c r="A42" s="134" t="s">
        <v>197</v>
      </c>
      <c r="B42" s="117" t="s">
        <v>192</v>
      </c>
      <c r="C42" s="78" t="str">
        <f>[6]sheet1!$B$3732</f>
        <v>PORTA DE MADEIRA-DE-LEI TIPO VENEZIANA (ANGELIM OU EQUIVALENTE REGIONAL), E = *3,5* CM</v>
      </c>
      <c r="D42" s="70" t="s">
        <v>53</v>
      </c>
      <c r="E42" s="71">
        <f>'MEMORIAL DE CALCULO'!J135</f>
        <v>5.4600000000000009</v>
      </c>
      <c r="F42" s="66">
        <f t="shared" si="10"/>
        <v>375.90537600000005</v>
      </c>
      <c r="G42" s="128">
        <f t="shared" si="11"/>
        <v>2052.4686000000002</v>
      </c>
      <c r="H42" s="109"/>
      <c r="I42" s="323" t="str">
        <f>[6]sheet1!$E$3732</f>
        <v>309,54</v>
      </c>
      <c r="J42" s="264">
        <f t="shared" si="12"/>
        <v>375.90537600000005</v>
      </c>
    </row>
    <row r="43" spans="1:10" s="54" customFormat="1" ht="41.4" x14ac:dyDescent="0.25">
      <c r="A43" s="134" t="s">
        <v>198</v>
      </c>
      <c r="B43" s="76" t="str">
        <f>[4]relatorio!$A$296</f>
        <v>'071701</v>
      </c>
      <c r="C43" s="78" t="str">
        <f>[4]relatorio!$C$296</f>
        <v>Janela de correr para vidro em alumínio anodizado cor natural, linha 25, completa, incl. puxador com tranca, alizar, caixilho e contramarco, exclusive vidro</v>
      </c>
      <c r="D43" s="70" t="s">
        <v>53</v>
      </c>
      <c r="E43" s="71">
        <f>'MEMORIAL DE CALCULO'!J140</f>
        <v>22.614999999999998</v>
      </c>
      <c r="F43" s="66">
        <f t="shared" si="10"/>
        <v>699.59155200000009</v>
      </c>
      <c r="G43" s="128">
        <f t="shared" si="11"/>
        <v>15824.725800000002</v>
      </c>
      <c r="H43" s="109"/>
      <c r="I43" s="66">
        <f>[4]relatorio!$G$296</f>
        <v>576.08000000000004</v>
      </c>
      <c r="J43" s="264">
        <f t="shared" si="12"/>
        <v>699.59155200000009</v>
      </c>
    </row>
    <row r="44" spans="1:10" s="54" customFormat="1" ht="27.6" x14ac:dyDescent="0.25">
      <c r="A44" s="134" t="s">
        <v>199</v>
      </c>
      <c r="B44" s="76" t="str">
        <f>[4]relatorio!$A$297</f>
        <v>'071702</v>
      </c>
      <c r="C44" s="78" t="str">
        <f>[4]relatorio!$C$297</f>
        <v>Báscula para vidro em alumínio anodizado cor natural, linha 25, completa, com tranca, caixilho, alizar e contramarco, exclusive vidro</v>
      </c>
      <c r="D44" s="70" t="s">
        <v>53</v>
      </c>
      <c r="E44" s="71">
        <f>'MEMORIAL DE CALCULO'!J143</f>
        <v>1.3250000000000002</v>
      </c>
      <c r="F44" s="66">
        <f t="shared" si="10"/>
        <v>830.95320000000004</v>
      </c>
      <c r="G44" s="128">
        <f t="shared" si="11"/>
        <v>1105.1635000000001</v>
      </c>
      <c r="H44" s="109"/>
      <c r="I44" s="66">
        <f>[4]relatorio!$G$297</f>
        <v>684.25</v>
      </c>
      <c r="J44" s="264">
        <f>SUM((I44*$G$5)+I44)</f>
        <v>830.95320000000004</v>
      </c>
    </row>
    <row r="45" spans="1:10" s="54" customFormat="1" x14ac:dyDescent="0.25">
      <c r="A45" s="134" t="s">
        <v>200</v>
      </c>
      <c r="B45" s="76" t="str">
        <f>[4]relatorio!$A$305</f>
        <v>'080102</v>
      </c>
      <c r="C45" s="78" t="str">
        <f>[4]relatorio!$C$305</f>
        <v>Vidro plano transparente liso, com 4 mm de espessura</v>
      </c>
      <c r="D45" s="70" t="s">
        <v>53</v>
      </c>
      <c r="E45" s="71">
        <f>'MEMORIAL DE CALCULO'!J150</f>
        <v>23.939999999999998</v>
      </c>
      <c r="F45" s="66">
        <f t="shared" si="10"/>
        <v>329.503152</v>
      </c>
      <c r="G45" s="128">
        <f t="shared" si="11"/>
        <v>7888.2300000000005</v>
      </c>
      <c r="H45" s="109"/>
      <c r="I45" s="66">
        <f>[4]relatorio!$G$305</f>
        <v>271.33</v>
      </c>
      <c r="J45" s="264">
        <f>SUM((I45*$G$5)+I45)</f>
        <v>329.503152</v>
      </c>
    </row>
    <row r="46" spans="1:10" s="54" customFormat="1" x14ac:dyDescent="0.25">
      <c r="A46" s="129"/>
      <c r="B46" s="86"/>
      <c r="C46" s="87" t="s">
        <v>54</v>
      </c>
      <c r="D46" s="88" t="s">
        <v>55</v>
      </c>
      <c r="E46" s="227"/>
      <c r="F46" s="89"/>
      <c r="G46" s="136">
        <f>SUM(G37:G45)</f>
        <v>45915.14390000001</v>
      </c>
      <c r="H46" s="109"/>
      <c r="I46" s="89"/>
      <c r="J46" s="264"/>
    </row>
    <row r="47" spans="1:10" s="54" customFormat="1" x14ac:dyDescent="0.25">
      <c r="A47" s="195">
        <v>5</v>
      </c>
      <c r="B47" s="196"/>
      <c r="C47" s="200" t="s">
        <v>145</v>
      </c>
      <c r="D47" s="197"/>
      <c r="E47" s="228"/>
      <c r="F47" s="198"/>
      <c r="G47" s="199"/>
      <c r="H47" s="109"/>
      <c r="I47" s="198"/>
      <c r="J47" s="264"/>
    </row>
    <row r="48" spans="1:10" s="54" customFormat="1" x14ac:dyDescent="0.25">
      <c r="A48" s="134" t="s">
        <v>62</v>
      </c>
      <c r="B48" s="117">
        <v>100202</v>
      </c>
      <c r="C48" s="116" t="s">
        <v>291</v>
      </c>
      <c r="D48" s="70" t="s">
        <v>138</v>
      </c>
      <c r="E48" s="71">
        <f>'MEMORIAL DE CALCULO'!J153</f>
        <v>427.79900000000004</v>
      </c>
      <c r="F48" s="90">
        <f t="shared" ref="F48:F53" si="13">J48</f>
        <v>10.14024</v>
      </c>
      <c r="G48" s="131">
        <f t="shared" ref="G48:G53" si="14">ROUND(E48,2)*ROUND(F48,2)</f>
        <v>4337.8920000000007</v>
      </c>
      <c r="H48" s="109"/>
      <c r="I48" s="277">
        <v>8.35</v>
      </c>
      <c r="J48" s="264">
        <f t="shared" ref="J48:J53" si="15">SUM((I48*$G$5)+I48)</f>
        <v>10.14024</v>
      </c>
    </row>
    <row r="49" spans="1:10" s="54" customFormat="1" ht="18.600000000000001" customHeight="1" x14ac:dyDescent="0.25">
      <c r="A49" s="134" t="s">
        <v>85</v>
      </c>
      <c r="B49" s="117">
        <v>100209</v>
      </c>
      <c r="C49" s="116" t="s">
        <v>292</v>
      </c>
      <c r="D49" s="70" t="s">
        <v>138</v>
      </c>
      <c r="E49" s="71">
        <f>'MEMORIAL DE CALCULO'!J155</f>
        <v>207.9</v>
      </c>
      <c r="F49" s="90">
        <f t="shared" si="13"/>
        <v>10.14024</v>
      </c>
      <c r="G49" s="131">
        <f t="shared" si="14"/>
        <v>2108.1060000000002</v>
      </c>
      <c r="H49" s="109"/>
      <c r="I49" s="277">
        <v>8.35</v>
      </c>
      <c r="J49" s="264">
        <f t="shared" si="15"/>
        <v>10.14024</v>
      </c>
    </row>
    <row r="50" spans="1:10" s="54" customFormat="1" ht="41.4" x14ac:dyDescent="0.25">
      <c r="A50" s="134" t="s">
        <v>86</v>
      </c>
      <c r="B50" s="76">
        <v>90206</v>
      </c>
      <c r="C50" s="116" t="str">
        <f>[4]relatorio!$C$328</f>
        <v>Telha em aço galvalume trapezoidal 40, e=0.50mm, pintura cor branca nas duas faces, inclusive acessório de fixação Ref. Santo André, Eternit, Metform ou equivalente</v>
      </c>
      <c r="D50" s="70" t="s">
        <v>53</v>
      </c>
      <c r="E50" s="71">
        <f>'MEMORIAL DE CALCULO'!J157</f>
        <v>81</v>
      </c>
      <c r="F50" s="90">
        <f t="shared" si="13"/>
        <v>113.60711999999999</v>
      </c>
      <c r="G50" s="131">
        <f t="shared" si="14"/>
        <v>9202.41</v>
      </c>
      <c r="H50" s="109"/>
      <c r="I50" s="90">
        <f>[4]relatorio!$G$328</f>
        <v>93.55</v>
      </c>
      <c r="J50" s="264">
        <f t="shared" si="15"/>
        <v>113.60711999999999</v>
      </c>
    </row>
    <row r="51" spans="1:10" s="54" customFormat="1" ht="17.399999999999999" customHeight="1" x14ac:dyDescent="0.25">
      <c r="A51" s="134" t="s">
        <v>94</v>
      </c>
      <c r="B51" s="76" t="str">
        <f>[4]relatorio!$A$334</f>
        <v>'090314</v>
      </c>
      <c r="C51" s="116" t="str">
        <f>[4]relatorio!$C$334</f>
        <v>Rufo de chapa de alumínio esp. 0.5mm, largura de 30cm</v>
      </c>
      <c r="D51" s="70" t="s">
        <v>73</v>
      </c>
      <c r="E51" s="71">
        <f>'MEMORIAL DE CALCULO'!J159</f>
        <v>26</v>
      </c>
      <c r="F51" s="90">
        <f t="shared" si="13"/>
        <v>54.70872</v>
      </c>
      <c r="G51" s="131">
        <f t="shared" si="14"/>
        <v>1422.46</v>
      </c>
      <c r="H51" s="109"/>
      <c r="I51" s="90">
        <f>[4]relatorio!$F$334</f>
        <v>45.05</v>
      </c>
      <c r="J51" s="264">
        <f t="shared" si="15"/>
        <v>54.70872</v>
      </c>
    </row>
    <row r="52" spans="1:10" s="54" customFormat="1" ht="55.2" x14ac:dyDescent="0.25">
      <c r="A52" s="134" t="s">
        <v>232</v>
      </c>
      <c r="B52" s="76" t="str">
        <f>[4]relatorio!$A$336</f>
        <v>'090403</v>
      </c>
      <c r="C52" s="116" t="str">
        <f>[4]relatorio!$C$336</f>
        <v>Platibanda de alvenaria de bloco cerâmico 10x20x20cm, assentado com argamassa de cimento, cal hidratada CH1 e areia no traço 1:0,5:8, amarrada com pilaretes em conc. arm. a cada 2m (H=1.0m), excl. revest.</v>
      </c>
      <c r="D52" s="70" t="s">
        <v>73</v>
      </c>
      <c r="E52" s="71">
        <f>'MEMORIAL DE CALCULO'!J161</f>
        <v>40</v>
      </c>
      <c r="F52" s="90">
        <f t="shared" si="13"/>
        <v>131.07019200000002</v>
      </c>
      <c r="G52" s="131">
        <f t="shared" si="14"/>
        <v>5242.7999999999993</v>
      </c>
      <c r="H52" s="109"/>
      <c r="I52" s="90">
        <f>[4]relatorio!$G$336</f>
        <v>107.93</v>
      </c>
      <c r="J52" s="264">
        <f t="shared" si="15"/>
        <v>131.07019200000002</v>
      </c>
    </row>
    <row r="53" spans="1:10" s="54" customFormat="1" x14ac:dyDescent="0.25">
      <c r="A53" s="134" t="s">
        <v>290</v>
      </c>
      <c r="B53" s="76" t="str">
        <f>[4]relatorio!$A$333</f>
        <v>'090312</v>
      </c>
      <c r="C53" s="116" t="str">
        <f>[4]relatorio!$C$333</f>
        <v>Calha em chapa galvanizada com largura de 40 cm</v>
      </c>
      <c r="D53" s="70" t="s">
        <v>73</v>
      </c>
      <c r="E53" s="71">
        <f>'MEMORIAL DE CALCULO'!J163</f>
        <v>20</v>
      </c>
      <c r="F53" s="90">
        <f t="shared" si="13"/>
        <v>160.43438400000002</v>
      </c>
      <c r="G53" s="131">
        <f t="shared" si="14"/>
        <v>3208.6000000000004</v>
      </c>
      <c r="H53" s="109"/>
      <c r="I53" s="90">
        <f>[4]relatorio!$G$333</f>
        <v>132.11000000000001</v>
      </c>
      <c r="J53" s="264">
        <f t="shared" si="15"/>
        <v>160.43438400000002</v>
      </c>
    </row>
    <row r="54" spans="1:10" s="54" customFormat="1" x14ac:dyDescent="0.25">
      <c r="A54" s="129"/>
      <c r="B54" s="86"/>
      <c r="C54" s="87" t="s">
        <v>54</v>
      </c>
      <c r="D54" s="88" t="s">
        <v>55</v>
      </c>
      <c r="E54" s="227"/>
      <c r="F54" s="89"/>
      <c r="G54" s="136">
        <f>SUM(G48:G52)</f>
        <v>22313.668000000001</v>
      </c>
      <c r="H54" s="109"/>
      <c r="I54" s="89"/>
      <c r="J54" s="264"/>
    </row>
    <row r="55" spans="1:10" s="54" customFormat="1" x14ac:dyDescent="0.25">
      <c r="A55" s="135">
        <v>6</v>
      </c>
      <c r="B55" s="72"/>
      <c r="C55" s="73" t="s">
        <v>193</v>
      </c>
      <c r="D55" s="74"/>
      <c r="E55" s="226"/>
      <c r="F55" s="75"/>
      <c r="G55" s="133"/>
      <c r="H55" s="109"/>
      <c r="I55" s="90"/>
      <c r="J55" s="264"/>
    </row>
    <row r="56" spans="1:10" s="54" customFormat="1" ht="27.6" x14ac:dyDescent="0.25">
      <c r="A56" s="134" t="s">
        <v>64</v>
      </c>
      <c r="B56" s="76" t="str">
        <f>[4]relatorio!$A$357</f>
        <v>'110101</v>
      </c>
      <c r="C56" s="308" t="str">
        <f>[4]relatorio!$C$357</f>
        <v>Chapisco com argamassa de cimento e areia média ou grossa lavada no traço 1:3, espessura 5 mm</v>
      </c>
      <c r="D56" s="70" t="s">
        <v>53</v>
      </c>
      <c r="E56" s="71">
        <f>'MEMORIAL DE CALCULO'!J184</f>
        <v>150.31000000000003</v>
      </c>
      <c r="F56" s="66">
        <f t="shared" ref="F56:F57" si="16">J56</f>
        <v>13.479839999999999</v>
      </c>
      <c r="G56" s="128">
        <f>ROUND(E56,2)*ROUND(F56,2)</f>
        <v>2026.1788000000001</v>
      </c>
      <c r="H56" s="109"/>
      <c r="I56" s="66">
        <f>[4]relatorio!$G$357</f>
        <v>11.1</v>
      </c>
      <c r="J56" s="264">
        <f>SUM((I56*$G$5)+I56)</f>
        <v>13.479839999999999</v>
      </c>
    </row>
    <row r="57" spans="1:10" s="54" customFormat="1" ht="27.6" x14ac:dyDescent="0.25">
      <c r="A57" s="134" t="s">
        <v>65</v>
      </c>
      <c r="B57" s="76" t="str">
        <f>[4]relatorio!$A$362</f>
        <v>'110301</v>
      </c>
      <c r="C57" s="308" t="str">
        <f>[4]relatorio!$C$362</f>
        <v>Emboço de argamassa de cimento, cal hidratada CH1 e areia lavada traço 1:0.5:6, espessura 20 mm</v>
      </c>
      <c r="D57" s="70" t="s">
        <v>53</v>
      </c>
      <c r="E57" s="71">
        <f>'MEMORIAL DE CALCULO'!J186</f>
        <v>150.31000000000003</v>
      </c>
      <c r="F57" s="66">
        <f t="shared" si="16"/>
        <v>37.694975999999997</v>
      </c>
      <c r="G57" s="128">
        <f>ROUND(E57,2)*ROUND(F57,2)</f>
        <v>5665.1839</v>
      </c>
      <c r="H57" s="109"/>
      <c r="I57" s="66">
        <f>[4]relatorio!$G$362</f>
        <v>31.04</v>
      </c>
      <c r="J57" s="264">
        <f t="shared" ref="J57" si="17">SUM((I57*$G$5)+I57)</f>
        <v>37.694975999999997</v>
      </c>
    </row>
    <row r="58" spans="1:10" s="54" customFormat="1" x14ac:dyDescent="0.25">
      <c r="A58" s="129"/>
      <c r="B58" s="86"/>
      <c r="C58" s="87" t="s">
        <v>54</v>
      </c>
      <c r="D58" s="88" t="s">
        <v>55</v>
      </c>
      <c r="E58" s="227"/>
      <c r="F58" s="89"/>
      <c r="G58" s="136">
        <f>SUM(G56:G57)</f>
        <v>7691.3626999999997</v>
      </c>
      <c r="H58" s="109"/>
      <c r="I58" s="90"/>
      <c r="J58" s="264"/>
    </row>
    <row r="59" spans="1:10" s="54" customFormat="1" x14ac:dyDescent="0.25">
      <c r="A59" s="135">
        <v>7</v>
      </c>
      <c r="B59" s="72"/>
      <c r="C59" s="73" t="s">
        <v>121</v>
      </c>
      <c r="D59" s="74"/>
      <c r="E59" s="226"/>
      <c r="F59" s="75"/>
      <c r="G59" s="133"/>
      <c r="H59" s="109"/>
      <c r="I59" s="75"/>
      <c r="J59" s="264"/>
    </row>
    <row r="60" spans="1:10" s="54" customFormat="1" ht="27.6" x14ac:dyDescent="0.25">
      <c r="A60" s="134" t="s">
        <v>66</v>
      </c>
      <c r="B60" s="76" t="str">
        <f>'[1]relatorio-13'!$A$370</f>
        <v>'120101</v>
      </c>
      <c r="C60" s="78" t="str">
        <f>'[1]relatorio-13'!$C$370</f>
        <v>Chapisco de argamassa de cimento e areia média ou grossa lavada, no traço 1:3, espessura 5 mm</v>
      </c>
      <c r="D60" s="70" t="s">
        <v>53</v>
      </c>
      <c r="E60" s="71">
        <f>'MEMORIAL DE CALCULO'!J191</f>
        <v>883.9</v>
      </c>
      <c r="F60" s="66">
        <f>J60</f>
        <v>6.8735040000000005</v>
      </c>
      <c r="G60" s="128">
        <f>ROUND(E60,2)*ROUND(F60,2)</f>
        <v>6072.393</v>
      </c>
      <c r="H60" s="52"/>
      <c r="I60" s="66">
        <f>[3]relatorio!$G$368</f>
        <v>5.66</v>
      </c>
      <c r="J60" s="264">
        <f>SUM((I60*$G$5)+I60)</f>
        <v>6.8735040000000005</v>
      </c>
    </row>
    <row r="61" spans="1:10" s="54" customFormat="1" ht="27.6" x14ac:dyDescent="0.25">
      <c r="A61" s="134" t="s">
        <v>67</v>
      </c>
      <c r="B61" s="76" t="str">
        <f>[4]relatorio!$A$383</f>
        <v>'120303</v>
      </c>
      <c r="C61" s="78" t="str">
        <f>[4]relatorio!$C$383</f>
        <v>Reboco tipo paulista de argamassa de cimento, cal hidratada CH1 e areia média ou grossa lavada no traço 1:0.5:6, espessura 25 mm</v>
      </c>
      <c r="D61" s="70" t="s">
        <v>53</v>
      </c>
      <c r="E61" s="71">
        <f>'MEMORIAL DE CALCULO'!J193</f>
        <v>883.9</v>
      </c>
      <c r="F61" s="66">
        <f t="shared" ref="F61:F62" si="18">J61</f>
        <v>57.659711999999999</v>
      </c>
      <c r="G61" s="128">
        <f>ROUND(E61,2)*ROUND(F61,2)</f>
        <v>50965.673999999999</v>
      </c>
      <c r="H61" s="52"/>
      <c r="I61" s="66">
        <f>[4]relatorio!$G$383</f>
        <v>47.48</v>
      </c>
      <c r="J61" s="264">
        <f>SUM((I61*$G$5)+I61)</f>
        <v>57.659711999999999</v>
      </c>
    </row>
    <row r="62" spans="1:10" s="54" customFormat="1" ht="45.75" customHeight="1" x14ac:dyDescent="0.25">
      <c r="A62" s="134" t="s">
        <v>68</v>
      </c>
      <c r="B62" s="117">
        <v>120201</v>
      </c>
      <c r="C62" s="115" t="s">
        <v>84</v>
      </c>
      <c r="D62" s="70" t="s">
        <v>53</v>
      </c>
      <c r="E62" s="71">
        <f>'MEMORIAL DE CALCULO'!J200</f>
        <v>29.590999999999998</v>
      </c>
      <c r="F62" s="66">
        <f t="shared" si="18"/>
        <v>85.930944000000011</v>
      </c>
      <c r="G62" s="131">
        <f>ROUND(E62,2)*ROUND(F62,2)</f>
        <v>2542.6687000000002</v>
      </c>
      <c r="H62" s="52"/>
      <c r="I62" s="90">
        <f>[3]relatorio!$G$370</f>
        <v>70.760000000000005</v>
      </c>
      <c r="J62" s="264">
        <f>SUM((I62*$G$5)+I62)</f>
        <v>85.930944000000011</v>
      </c>
    </row>
    <row r="63" spans="1:10" s="54" customFormat="1" x14ac:dyDescent="0.25">
      <c r="A63" s="129"/>
      <c r="B63" s="86"/>
      <c r="C63" s="87" t="s">
        <v>54</v>
      </c>
      <c r="D63" s="93"/>
      <c r="E63" s="227"/>
      <c r="F63" s="89"/>
      <c r="G63" s="136">
        <f>SUM(G60:G62)</f>
        <v>59580.735699999997</v>
      </c>
      <c r="H63" s="109"/>
      <c r="I63" s="89"/>
      <c r="J63" s="264"/>
    </row>
    <row r="64" spans="1:10" s="55" customFormat="1" x14ac:dyDescent="0.25">
      <c r="A64" s="135">
        <v>8</v>
      </c>
      <c r="B64" s="72"/>
      <c r="C64" s="73" t="s">
        <v>63</v>
      </c>
      <c r="D64" s="94"/>
      <c r="E64" s="229"/>
      <c r="F64" s="75"/>
      <c r="G64" s="133"/>
      <c r="H64" s="110"/>
      <c r="I64" s="75"/>
      <c r="J64" s="264"/>
    </row>
    <row r="65" spans="1:10" s="54" customFormat="1" x14ac:dyDescent="0.25">
      <c r="A65" s="134" t="s">
        <v>70</v>
      </c>
      <c r="B65" s="76" t="str">
        <f>[4]relatorio!$A$391</f>
        <v>'130110</v>
      </c>
      <c r="C65" s="78" t="str">
        <f>[4]relatorio!$C$391</f>
        <v>Lastro regularizado de concreto não estrutural, espessura de 8 cm</v>
      </c>
      <c r="D65" s="70" t="s">
        <v>53</v>
      </c>
      <c r="E65" s="71">
        <f>'MEMORIAL DE CALCULO'!J212</f>
        <v>72.62</v>
      </c>
      <c r="F65" s="66">
        <f>J65</f>
        <v>63.027360000000002</v>
      </c>
      <c r="G65" s="128">
        <f>ROUND(E65,2)*ROUND(F65,2)</f>
        <v>4577.2386000000006</v>
      </c>
      <c r="H65" s="109"/>
      <c r="I65" s="66">
        <f>[4]relatorio!$G$391</f>
        <v>51.9</v>
      </c>
      <c r="J65" s="264">
        <f>SUM((I65*$G$5)+I65)</f>
        <v>63.027360000000002</v>
      </c>
    </row>
    <row r="66" spans="1:10" s="54" customFormat="1" ht="27.6" x14ac:dyDescent="0.25">
      <c r="A66" s="134" t="s">
        <v>71</v>
      </c>
      <c r="B66" s="76" t="str">
        <f>'[1]relatorio-13'!$A$390</f>
        <v>'130103</v>
      </c>
      <c r="C66" s="78" t="str">
        <f>'[1]relatorio-13'!$C$390</f>
        <v>Regularização de base p/ revestimento cerâmico, com argamassa de cimento e areia no traço 1:5, espessura 3cm</v>
      </c>
      <c r="D66" s="70" t="s">
        <v>53</v>
      </c>
      <c r="E66" s="71">
        <f>'MEMORIAL DE CALCULO'!J214</f>
        <v>72.62</v>
      </c>
      <c r="F66" s="66">
        <f t="shared" ref="F66:F67" si="19">J66</f>
        <v>23.960112000000002</v>
      </c>
      <c r="G66" s="128">
        <f>ROUND(E66,2)*ROUND(F66,2)</f>
        <v>1739.9752000000001</v>
      </c>
      <c r="H66" s="109"/>
      <c r="I66" s="66">
        <f>[3]relatorio!$G$388</f>
        <v>19.73</v>
      </c>
      <c r="J66" s="264">
        <f>SUM((I66*$G$5)+I66)</f>
        <v>23.960112000000002</v>
      </c>
    </row>
    <row r="67" spans="1:10" s="54" customFormat="1" ht="41.4" x14ac:dyDescent="0.25">
      <c r="A67" s="134" t="s">
        <v>72</v>
      </c>
      <c r="B67" s="76" t="str">
        <f>[4]relatorio!$A$402</f>
        <v>'130219</v>
      </c>
      <c r="C67" s="78" t="str">
        <f>[4]relatorio!$C$402</f>
        <v>Piso cerâmico 45x45cm, PEI 5, Cargo Plus Gray, marcas de referência Eliane, Cecrisa ou Portobello, assentado com argamassa de cimento colante, inclusive rejuntamento</v>
      </c>
      <c r="D67" s="70" t="s">
        <v>53</v>
      </c>
      <c r="E67" s="71">
        <f>'MEMORIAL DE CALCULO'!J217</f>
        <v>150.31</v>
      </c>
      <c r="F67" s="66">
        <f t="shared" si="19"/>
        <v>82.834223999999992</v>
      </c>
      <c r="G67" s="128">
        <f>ROUND(E67,2)*ROUND(F67,2)</f>
        <v>12450.177299999999</v>
      </c>
      <c r="H67" s="109"/>
      <c r="I67" s="66">
        <f>[4]relatorio!$G$402</f>
        <v>68.209999999999994</v>
      </c>
      <c r="J67" s="264">
        <f>SUM((I67*$G$5)+I67)</f>
        <v>82.834223999999992</v>
      </c>
    </row>
    <row r="68" spans="1:10" s="54" customFormat="1" x14ac:dyDescent="0.25">
      <c r="A68" s="129"/>
      <c r="B68" s="86"/>
      <c r="C68" s="87" t="s">
        <v>54</v>
      </c>
      <c r="D68" s="88" t="s">
        <v>55</v>
      </c>
      <c r="E68" s="227"/>
      <c r="F68" s="89"/>
      <c r="G68" s="136">
        <f>SUM(G65:G67)</f>
        <v>18767.391100000001</v>
      </c>
      <c r="H68" s="109"/>
      <c r="I68" s="89"/>
      <c r="J68" s="264"/>
    </row>
    <row r="69" spans="1:10" s="55" customFormat="1" x14ac:dyDescent="0.25">
      <c r="A69" s="135">
        <v>9</v>
      </c>
      <c r="B69" s="72"/>
      <c r="C69" s="73" t="s">
        <v>194</v>
      </c>
      <c r="D69" s="94"/>
      <c r="E69" s="229"/>
      <c r="F69" s="75"/>
      <c r="G69" s="133"/>
      <c r="H69" s="110"/>
      <c r="I69" s="75"/>
      <c r="J69" s="264"/>
    </row>
    <row r="70" spans="1:10" s="54" customFormat="1" ht="27.6" x14ac:dyDescent="0.25">
      <c r="A70" s="134" t="s">
        <v>74</v>
      </c>
      <c r="B70" s="247" t="str">
        <f>'[1]relatorio-13'!$A$419</f>
        <v>'130303</v>
      </c>
      <c r="C70" s="78" t="str">
        <f>[4]relatorio!$C$417</f>
        <v>Rodapé de cerâmica PEI-3, assentado com argamassa de cimento cola h = 7.0 cm, inclusive rejuntamento com cimento branco</v>
      </c>
      <c r="D70" s="70" t="s">
        <v>73</v>
      </c>
      <c r="E70" s="71">
        <f>'MEMORIAL DE CALCULO'!J238</f>
        <v>202.29</v>
      </c>
      <c r="F70" s="66">
        <f>J70</f>
        <v>16.151520000000001</v>
      </c>
      <c r="G70" s="128">
        <f>ROUND(E70,2)*ROUND(F70,2)</f>
        <v>3266.9834999999994</v>
      </c>
      <c r="H70" s="109"/>
      <c r="I70" s="66">
        <f>[3]relatorio!$G$417</f>
        <v>13.3</v>
      </c>
      <c r="J70" s="264">
        <f>SUM((I70*$G$5)+I70)</f>
        <v>16.151520000000001</v>
      </c>
    </row>
    <row r="71" spans="1:10" s="54" customFormat="1" ht="18.75" customHeight="1" x14ac:dyDescent="0.25">
      <c r="A71" s="134" t="s">
        <v>75</v>
      </c>
      <c r="B71" s="247" t="str">
        <f>'[1]relatorio-13'!$A$425</f>
        <v>'130317</v>
      </c>
      <c r="C71" s="78" t="str">
        <f>'[1]relatorio-13'!$C$425</f>
        <v>Peitoril de granito cinza polido, 15 cm, esp. 3cm</v>
      </c>
      <c r="D71" s="70" t="s">
        <v>73</v>
      </c>
      <c r="E71" s="71">
        <f>'MEMORIAL DE CALCULO'!J255</f>
        <v>63.4</v>
      </c>
      <c r="F71" s="66">
        <f t="shared" ref="F71:F72" si="20">J71</f>
        <v>84.41294400000001</v>
      </c>
      <c r="G71" s="128">
        <f>ROUND(E71,2)*ROUND(F71,2)</f>
        <v>5351.5940000000001</v>
      </c>
      <c r="H71" s="109"/>
      <c r="I71" s="66">
        <f>[3]relatorio!$G$423</f>
        <v>69.510000000000005</v>
      </c>
      <c r="J71" s="264">
        <f>SUM((I71*$G$5)+I71)</f>
        <v>84.41294400000001</v>
      </c>
    </row>
    <row r="72" spans="1:10" s="54" customFormat="1" ht="18" customHeight="1" x14ac:dyDescent="0.25">
      <c r="A72" s="134" t="s">
        <v>139</v>
      </c>
      <c r="B72" s="76" t="str">
        <f>'[1]relatorio-13'!$A$422</f>
        <v>'130308</v>
      </c>
      <c r="C72" s="78" t="str">
        <f>'[1]relatorio-13'!$C$422</f>
        <v>Soleira de granito esp. 2 cm e largura de 15 cm</v>
      </c>
      <c r="D72" s="70" t="s">
        <v>73</v>
      </c>
      <c r="E72" s="71">
        <f>'MEMORIAL DE CALCULO'!J270</f>
        <v>13.100000000000005</v>
      </c>
      <c r="F72" s="66">
        <f t="shared" si="20"/>
        <v>48.320976000000002</v>
      </c>
      <c r="G72" s="128">
        <f>ROUND(E72,2)*ROUND(F72,2)</f>
        <v>632.99199999999996</v>
      </c>
      <c r="H72" s="109"/>
      <c r="I72" s="66">
        <f>[3]relatorio!$G$420</f>
        <v>39.79</v>
      </c>
      <c r="J72" s="264">
        <f>SUM((I72*$G$5)+I72)</f>
        <v>48.320976000000002</v>
      </c>
    </row>
    <row r="73" spans="1:10" s="54" customFormat="1" x14ac:dyDescent="0.25">
      <c r="A73" s="129"/>
      <c r="B73" s="86"/>
      <c r="C73" s="87" t="s">
        <v>54</v>
      </c>
      <c r="D73" s="88" t="s">
        <v>55</v>
      </c>
      <c r="E73" s="227"/>
      <c r="F73" s="89"/>
      <c r="G73" s="136">
        <f>SUM(G70:G72)</f>
        <v>9251.5694999999996</v>
      </c>
      <c r="H73" s="109"/>
      <c r="I73" s="89"/>
      <c r="J73" s="264"/>
    </row>
    <row r="74" spans="1:10" s="55" customFormat="1" x14ac:dyDescent="0.25">
      <c r="A74" s="135">
        <v>10</v>
      </c>
      <c r="B74" s="72"/>
      <c r="C74" s="73" t="s">
        <v>69</v>
      </c>
      <c r="D74" s="74"/>
      <c r="E74" s="226"/>
      <c r="F74" s="75"/>
      <c r="G74" s="133"/>
      <c r="H74" s="110"/>
      <c r="I74" s="75"/>
      <c r="J74" s="264"/>
    </row>
    <row r="75" spans="1:10" s="55" customFormat="1" x14ac:dyDescent="0.25">
      <c r="A75" s="134" t="s">
        <v>76</v>
      </c>
      <c r="B75" s="76" t="str">
        <f>[4]relatorio!$A$442</f>
        <v>'140701</v>
      </c>
      <c r="C75" s="113" t="str">
        <f>[4]relatorio!$C$442</f>
        <v>Ponto de água fria (lavatório, tanque, pia de cozinha, etc...)</v>
      </c>
      <c r="D75" s="70" t="s">
        <v>164</v>
      </c>
      <c r="E75" s="71">
        <f>'MEMORIAL DE CALCULO'!J275</f>
        <v>3</v>
      </c>
      <c r="F75" s="66">
        <f t="shared" ref="F75:F85" si="21">J75</f>
        <v>105.130608</v>
      </c>
      <c r="G75" s="128">
        <f t="shared" ref="G75:G85" si="22">ROUND(E75,2)*ROUND(F75,2)</f>
        <v>315.39</v>
      </c>
      <c r="H75" s="110"/>
      <c r="I75" s="66">
        <f>[4]relatorio!$G$442</f>
        <v>86.57</v>
      </c>
      <c r="J75" s="264">
        <f t="shared" ref="J75:J85" si="23">SUM((I75*$G$5)+I75)</f>
        <v>105.130608</v>
      </c>
    </row>
    <row r="76" spans="1:10" s="55" customFormat="1" x14ac:dyDescent="0.25">
      <c r="A76" s="134" t="s">
        <v>77</v>
      </c>
      <c r="B76" s="76" t="str">
        <f>[4]relatorio!$A$443</f>
        <v>'140702</v>
      </c>
      <c r="C76" s="78" t="str">
        <f>[4]relatorio!$C$443</f>
        <v>Ponto com registro de pressão (chuveiro, caixa de descarga, etc...)</v>
      </c>
      <c r="D76" s="70" t="s">
        <v>164</v>
      </c>
      <c r="E76" s="71">
        <f>'MEMORIAL DE CALCULO'!J279</f>
        <v>3</v>
      </c>
      <c r="F76" s="66">
        <f t="shared" si="21"/>
        <v>241.38628800000001</v>
      </c>
      <c r="G76" s="128">
        <f t="shared" si="22"/>
        <v>724.17</v>
      </c>
      <c r="H76" s="110"/>
      <c r="I76" s="66">
        <f>[4]relatorio!$G$443</f>
        <v>198.77</v>
      </c>
      <c r="J76" s="264">
        <f t="shared" si="23"/>
        <v>241.38628800000001</v>
      </c>
    </row>
    <row r="77" spans="1:10" s="55" customFormat="1" x14ac:dyDescent="0.25">
      <c r="A77" s="134" t="s">
        <v>78</v>
      </c>
      <c r="B77" s="76" t="str">
        <f>[4]relatorio!$A$446</f>
        <v>'140705</v>
      </c>
      <c r="C77" s="78" t="str">
        <f>[4]relatorio!$C$446</f>
        <v>Ponto para esgoto primário (vaso sanitário)</v>
      </c>
      <c r="D77" s="70" t="s">
        <v>164</v>
      </c>
      <c r="E77" s="71">
        <f>'MEMORIAL DE CALCULO'!J283</f>
        <v>3</v>
      </c>
      <c r="F77" s="66">
        <f t="shared" si="21"/>
        <v>125.87256000000001</v>
      </c>
      <c r="G77" s="128">
        <f t="shared" si="22"/>
        <v>377.61</v>
      </c>
      <c r="H77" s="110"/>
      <c r="I77" s="66">
        <f>[4]relatorio!$G$446</f>
        <v>103.65</v>
      </c>
      <c r="J77" s="264">
        <f t="shared" si="23"/>
        <v>125.87256000000001</v>
      </c>
    </row>
    <row r="78" spans="1:10" s="55" customFormat="1" ht="27.6" x14ac:dyDescent="0.25">
      <c r="A78" s="134" t="s">
        <v>146</v>
      </c>
      <c r="B78" s="76" t="str">
        <f>[4]relatorio!$A$447</f>
        <v>'140706</v>
      </c>
      <c r="C78" s="78" t="str">
        <f>[4]relatorio!$C$447</f>
        <v>Ponto para esgoto secundário (pia, lavatório, mictório, tanque, bidê, etc...)</v>
      </c>
      <c r="D78" s="70" t="s">
        <v>164</v>
      </c>
      <c r="E78" s="71">
        <f>'MEMORIAL DE CALCULO'!J287</f>
        <v>3</v>
      </c>
      <c r="F78" s="66">
        <f t="shared" si="21"/>
        <v>99.872255999999993</v>
      </c>
      <c r="G78" s="128">
        <f t="shared" si="22"/>
        <v>299.61</v>
      </c>
      <c r="H78" s="110"/>
      <c r="I78" s="66">
        <f>[4]relatorio!$G$447</f>
        <v>82.24</v>
      </c>
      <c r="J78" s="264">
        <f t="shared" si="23"/>
        <v>99.872255999999993</v>
      </c>
    </row>
    <row r="79" spans="1:10" s="55" customFormat="1" ht="27.6" x14ac:dyDescent="0.25">
      <c r="A79" s="134" t="s">
        <v>147</v>
      </c>
      <c r="B79" s="76" t="str">
        <f>[4]relatorio!$A$449</f>
        <v>'140708</v>
      </c>
      <c r="C79" s="78" t="str">
        <f>[4]relatorio!$C$449</f>
        <v>Ponto para ralo sifonado, inclusive ralo sifonado 100 x 40 mm c/ grelha em pvc</v>
      </c>
      <c r="D79" s="70" t="s">
        <v>164</v>
      </c>
      <c r="E79" s="71">
        <f>'MEMORIAL DE CALCULO'!J291</f>
        <v>3</v>
      </c>
      <c r="F79" s="66">
        <f t="shared" si="21"/>
        <v>94.213151999999994</v>
      </c>
      <c r="G79" s="128">
        <f t="shared" si="22"/>
        <v>282.63</v>
      </c>
      <c r="H79" s="110"/>
      <c r="I79" s="66">
        <f>[4]relatorio!$G$449</f>
        <v>77.58</v>
      </c>
      <c r="J79" s="264">
        <f t="shared" si="23"/>
        <v>94.213151999999994</v>
      </c>
    </row>
    <row r="80" spans="1:10" s="55" customFormat="1" ht="55.2" x14ac:dyDescent="0.25">
      <c r="A80" s="134" t="s">
        <v>148</v>
      </c>
      <c r="B80" s="76" t="str">
        <f>[4]relatorio!$A$464</f>
        <v>'141101</v>
      </c>
      <c r="C80" s="116" t="str">
        <f>[4]relatorio!$C$464</f>
        <v>Caixas de inspeção de alv. blocos concreto 9x19x39cm, dim, 60x60cm e Hmáx = 1m, com tampa de conc. esp. 5cm, lastro de conc. esp. 10cm, revest intern. c/ chapisco e reboco impermeabilizado, incl. escavação, reaterro e enchimento</v>
      </c>
      <c r="D80" s="70" t="s">
        <v>191</v>
      </c>
      <c r="E80" s="71">
        <f>'MEMORIAL DE CALCULO'!J293</f>
        <v>3</v>
      </c>
      <c r="F80" s="66">
        <f t="shared" si="21"/>
        <v>561.28353600000003</v>
      </c>
      <c r="G80" s="131">
        <f t="shared" si="22"/>
        <v>1683.84</v>
      </c>
      <c r="H80" s="110"/>
      <c r="I80" s="90">
        <f>[4]relatorio!$G$464</f>
        <v>462.19</v>
      </c>
      <c r="J80" s="264">
        <f t="shared" si="23"/>
        <v>561.28353600000003</v>
      </c>
    </row>
    <row r="81" spans="1:10" s="55" customFormat="1" ht="28.5" customHeight="1" x14ac:dyDescent="0.25">
      <c r="A81" s="134" t="s">
        <v>149</v>
      </c>
      <c r="B81" s="76" t="str">
        <f>[4]relatorio!$A$489</f>
        <v>'141409</v>
      </c>
      <c r="C81" s="116" t="str">
        <f>[4]relatorio!$C$489</f>
        <v>Tubo de PVC rígido soldável marrom, diâm. 20mm (1/2"), inclusive conexões</v>
      </c>
      <c r="D81" s="70" t="s">
        <v>73</v>
      </c>
      <c r="E81" s="71">
        <f>'MEMORIAL DE CALCULO'!J295</f>
        <v>3</v>
      </c>
      <c r="F81" s="66">
        <f t="shared" si="21"/>
        <v>21.312720000000002</v>
      </c>
      <c r="G81" s="131">
        <f t="shared" si="22"/>
        <v>63.929999999999993</v>
      </c>
      <c r="H81" s="110"/>
      <c r="I81" s="90">
        <f>[4]relatorio!$G$489</f>
        <v>17.55</v>
      </c>
      <c r="J81" s="264">
        <f t="shared" si="23"/>
        <v>21.312720000000002</v>
      </c>
    </row>
    <row r="82" spans="1:10" s="55" customFormat="1" ht="28.5" customHeight="1" x14ac:dyDescent="0.25">
      <c r="A82" s="134" t="s">
        <v>150</v>
      </c>
      <c r="B82" s="76" t="str">
        <f>[4]relatorio!$A$490</f>
        <v>'141410</v>
      </c>
      <c r="C82" s="273" t="str">
        <f>[4]relatorio!$C$490</f>
        <v>Tubo de PVC rígido soldável marrom, diâm. 25mm (3/4"), inclusive conexões</v>
      </c>
      <c r="D82" s="70" t="s">
        <v>73</v>
      </c>
      <c r="E82" s="71">
        <f>'MEMORIAL DE CALCULO'!J297</f>
        <v>4</v>
      </c>
      <c r="F82" s="66">
        <f t="shared" si="21"/>
        <v>25.210944000000001</v>
      </c>
      <c r="G82" s="131">
        <f t="shared" si="22"/>
        <v>100.84</v>
      </c>
      <c r="H82" s="110"/>
      <c r="I82" s="90">
        <f>[4]relatorio!$G$490</f>
        <v>20.76</v>
      </c>
      <c r="J82" s="264">
        <f t="shared" si="23"/>
        <v>25.210944000000001</v>
      </c>
    </row>
    <row r="83" spans="1:10" s="55" customFormat="1" ht="28.5" customHeight="1" x14ac:dyDescent="0.25">
      <c r="A83" s="134" t="s">
        <v>151</v>
      </c>
      <c r="B83" s="76" t="str">
        <f>[4]relatorio!$A$505</f>
        <v>'141906</v>
      </c>
      <c r="C83" s="116" t="str">
        <f>[4]relatorio!$C$505</f>
        <v>Tubo de PVC rígido soldável branco, para esgoto, diâmetro 40mm (1 1/2"), inclusive conexões</v>
      </c>
      <c r="D83" s="70" t="s">
        <v>73</v>
      </c>
      <c r="E83" s="71">
        <f>'MEMORIAL DE CALCULO'!J299</f>
        <v>1</v>
      </c>
      <c r="F83" s="66">
        <f t="shared" si="21"/>
        <v>37.986432000000001</v>
      </c>
      <c r="G83" s="131">
        <f t="shared" si="22"/>
        <v>37.99</v>
      </c>
      <c r="H83" s="110"/>
      <c r="I83" s="90">
        <f>[4]relatorio!$G$505</f>
        <v>31.28</v>
      </c>
      <c r="J83" s="264">
        <f t="shared" si="23"/>
        <v>37.986432000000001</v>
      </c>
    </row>
    <row r="84" spans="1:10" s="55" customFormat="1" ht="28.5" customHeight="1" x14ac:dyDescent="0.25">
      <c r="A84" s="134" t="s">
        <v>152</v>
      </c>
      <c r="B84" s="76" t="str">
        <f>[4]relatorio!$A$506</f>
        <v>'141907</v>
      </c>
      <c r="C84" s="116" t="str">
        <f>[4]relatorio!$C$506</f>
        <v>Tubo de PVC rígido soldável branco, para esgoto, diâmetro 50mm (2"), inclusive conexões</v>
      </c>
      <c r="D84" s="70" t="s">
        <v>73</v>
      </c>
      <c r="E84" s="71">
        <f>'MEMORIAL DE CALCULO'!J301</f>
        <v>1</v>
      </c>
      <c r="F84" s="66">
        <f t="shared" si="21"/>
        <v>48.065951999999996</v>
      </c>
      <c r="G84" s="131">
        <f t="shared" si="22"/>
        <v>48.07</v>
      </c>
      <c r="H84" s="110"/>
      <c r="I84" s="90">
        <f>[4]relatorio!$G$506</f>
        <v>39.58</v>
      </c>
      <c r="J84" s="264">
        <f t="shared" si="23"/>
        <v>48.065951999999996</v>
      </c>
    </row>
    <row r="85" spans="1:10" s="55" customFormat="1" ht="30" customHeight="1" x14ac:dyDescent="0.25">
      <c r="A85" s="134" t="s">
        <v>153</v>
      </c>
      <c r="B85" s="76" t="str">
        <f>[4]relatorio!$A$508</f>
        <v>'141909</v>
      </c>
      <c r="C85" s="78" t="str">
        <f>[4]relatorio!$C$508</f>
        <v>Tubo de PVC rígido soldável branco, para esgoto, diâmetro 100mm (4"), inclusive conexões</v>
      </c>
      <c r="D85" s="70" t="s">
        <v>73</v>
      </c>
      <c r="E85" s="71">
        <f>'MEMORIAL DE CALCULO'!J303</f>
        <v>7</v>
      </c>
      <c r="F85" s="66">
        <f t="shared" si="21"/>
        <v>79.688928000000004</v>
      </c>
      <c r="G85" s="128">
        <f t="shared" si="22"/>
        <v>557.82999999999993</v>
      </c>
      <c r="H85" s="110"/>
      <c r="I85" s="66">
        <f>[4]relatorio!$G$508</f>
        <v>65.62</v>
      </c>
      <c r="J85" s="264">
        <f t="shared" si="23"/>
        <v>79.688928000000004</v>
      </c>
    </row>
    <row r="86" spans="1:10" s="54" customFormat="1" x14ac:dyDescent="0.25">
      <c r="A86" s="129"/>
      <c r="B86" s="86"/>
      <c r="C86" s="87" t="s">
        <v>54</v>
      </c>
      <c r="D86" s="88" t="s">
        <v>55</v>
      </c>
      <c r="E86" s="230"/>
      <c r="F86" s="89"/>
      <c r="G86" s="136">
        <f>SUM(G75:G85)</f>
        <v>4491.91</v>
      </c>
      <c r="H86" s="109"/>
      <c r="I86" s="89"/>
      <c r="J86" s="264"/>
    </row>
    <row r="87" spans="1:10" s="54" customFormat="1" x14ac:dyDescent="0.25">
      <c r="A87" s="135">
        <v>11</v>
      </c>
      <c r="B87" s="72"/>
      <c r="C87" s="73" t="s">
        <v>95</v>
      </c>
      <c r="D87" s="74"/>
      <c r="E87" s="226"/>
      <c r="F87" s="75"/>
      <c r="G87" s="133"/>
      <c r="H87" s="109"/>
      <c r="I87" s="75"/>
      <c r="J87" s="264"/>
    </row>
    <row r="88" spans="1:10" s="54" customFormat="1" ht="27.6" x14ac:dyDescent="0.25">
      <c r="A88" s="134" t="s">
        <v>140</v>
      </c>
      <c r="B88" s="248" t="s">
        <v>288</v>
      </c>
      <c r="C88" s="78" t="str">
        <f>[4]relatorio!$C$547</f>
        <v>Quadro de distribuição em PVC para 06 circuitos, inclusive 4 disjuntores monopolares de 15A</v>
      </c>
      <c r="D88" s="70" t="s">
        <v>191</v>
      </c>
      <c r="E88" s="71">
        <f>'MEMORIAL DE CALCULO'!J306</f>
        <v>1</v>
      </c>
      <c r="F88" s="66">
        <f t="shared" ref="F88:F115" si="24">J88</f>
        <v>442.10232000000002</v>
      </c>
      <c r="G88" s="128">
        <f t="shared" ref="G88:G115" si="25">ROUND(E88,2)*ROUND(F88,2)</f>
        <v>442.1</v>
      </c>
      <c r="H88" s="109"/>
      <c r="I88" s="66">
        <f>[4]relatorio!$G$547</f>
        <v>364.05</v>
      </c>
      <c r="J88" s="264">
        <f t="shared" ref="J88:J115" si="26">SUM((I88*$G$5)+I88)</f>
        <v>442.10232000000002</v>
      </c>
    </row>
    <row r="89" spans="1:10" s="54" customFormat="1" ht="27.6" x14ac:dyDescent="0.25">
      <c r="A89" s="134" t="s">
        <v>141</v>
      </c>
      <c r="B89" s="248" t="s">
        <v>289</v>
      </c>
      <c r="C89" s="78" t="str">
        <f>[4]relatorio!$C$548</f>
        <v>Quadro de distribuição de energia em PVC, de embutir, com 12 divisões modulares com barramento</v>
      </c>
      <c r="D89" s="70" t="s">
        <v>191</v>
      </c>
      <c r="E89" s="71">
        <f>'MEMORIAL DE CALCULO'!J308</f>
        <v>1</v>
      </c>
      <c r="F89" s="66">
        <f t="shared" si="24"/>
        <v>324.30552</v>
      </c>
      <c r="G89" s="128">
        <f t="shared" si="25"/>
        <v>324.31</v>
      </c>
      <c r="H89" s="109"/>
      <c r="I89" s="66">
        <f>[4]relatorio!$G$548</f>
        <v>267.05</v>
      </c>
      <c r="J89" s="264">
        <f t="shared" si="26"/>
        <v>324.30552</v>
      </c>
    </row>
    <row r="90" spans="1:10" s="54" customFormat="1" ht="27.6" x14ac:dyDescent="0.25">
      <c r="A90" s="134" t="s">
        <v>201</v>
      </c>
      <c r="B90" s="76" t="str">
        <f>'[1]relatorio-13'!$A$671</f>
        <v>'151318</v>
      </c>
      <c r="C90" s="78" t="str">
        <f>[4]relatorio!$C$651</f>
        <v>Mini-Disjuntor monopolar 16 A, curva C - 5KA 220/127VCA (NBR IEC 60947-2), Ref. Siemens, GE, Schneider ou equivalente</v>
      </c>
      <c r="D90" s="70" t="s">
        <v>191</v>
      </c>
      <c r="E90" s="71">
        <f>'MEMORIAL DE CALCULO'!J310</f>
        <v>4</v>
      </c>
      <c r="F90" s="66">
        <f t="shared" si="24"/>
        <v>23.073599999999999</v>
      </c>
      <c r="G90" s="128">
        <f t="shared" si="25"/>
        <v>92.28</v>
      </c>
      <c r="H90" s="109"/>
      <c r="I90" s="66">
        <f>[4]relatorio!$G$651</f>
        <v>19</v>
      </c>
      <c r="J90" s="264">
        <f t="shared" si="26"/>
        <v>23.073599999999999</v>
      </c>
    </row>
    <row r="91" spans="1:10" s="54" customFormat="1" ht="27.6" x14ac:dyDescent="0.25">
      <c r="A91" s="134" t="s">
        <v>202</v>
      </c>
      <c r="B91" s="76" t="str">
        <f>[4]relatorio!$A$656</f>
        <v>'151306</v>
      </c>
      <c r="C91" s="78" t="str">
        <f>[4]relatorio!$C$656</f>
        <v>Mini-Disjuntor bipolar 16 A, curva C - 5KA 220/127VCA (NBR IEC 60947-2), Ref. Siemens, GE, Schneider ou equivalente</v>
      </c>
      <c r="D91" s="70" t="s">
        <v>191</v>
      </c>
      <c r="E91" s="71">
        <f>'MEMORIAL DE CALCULO'!J312</f>
        <v>10</v>
      </c>
      <c r="F91" s="66">
        <f t="shared" si="24"/>
        <v>64.800383999999994</v>
      </c>
      <c r="G91" s="128">
        <f t="shared" si="25"/>
        <v>648</v>
      </c>
      <c r="H91" s="109"/>
      <c r="I91" s="66">
        <f>[4]relatorio!$G$656</f>
        <v>53.36</v>
      </c>
      <c r="J91" s="264">
        <f t="shared" si="26"/>
        <v>64.800383999999994</v>
      </c>
    </row>
    <row r="92" spans="1:10" s="54" customFormat="1" ht="27.6" x14ac:dyDescent="0.25">
      <c r="A92" s="134" t="s">
        <v>203</v>
      </c>
      <c r="B92" s="76" t="str">
        <f>[4]relatorio!$A$671</f>
        <v>'151322</v>
      </c>
      <c r="C92" s="78" t="str">
        <f>[4]relatorio!$C$671</f>
        <v>Mini-Disjuntor bipolar 32 A, curva C - 5KA 220/127VCA (NBR IEC 60947-2), Ref. Siemens, GE, Schneider ou equivalente</v>
      </c>
      <c r="D92" s="70" t="s">
        <v>191</v>
      </c>
      <c r="E92" s="71">
        <f>'MEMORIAL DE CALCULO'!J314</f>
        <v>1</v>
      </c>
      <c r="F92" s="66">
        <f t="shared" si="24"/>
        <v>64.800383999999994</v>
      </c>
      <c r="G92" s="128">
        <f t="shared" si="25"/>
        <v>64.8</v>
      </c>
      <c r="H92" s="109"/>
      <c r="I92" s="66">
        <f>[4]relatorio!$G$671</f>
        <v>53.36</v>
      </c>
      <c r="J92" s="264">
        <f t="shared" si="26"/>
        <v>64.800383999999994</v>
      </c>
    </row>
    <row r="93" spans="1:10" s="54" customFormat="1" ht="41.4" x14ac:dyDescent="0.25">
      <c r="A93" s="134" t="s">
        <v>204</v>
      </c>
      <c r="B93" s="246">
        <v>151801</v>
      </c>
      <c r="C93" s="78" t="s">
        <v>88</v>
      </c>
      <c r="D93" s="70" t="s">
        <v>164</v>
      </c>
      <c r="E93" s="71">
        <f>'MEMORIAL DE CALCULO'!J316</f>
        <v>25</v>
      </c>
      <c r="F93" s="66">
        <f t="shared" si="24"/>
        <v>239.92900800000001</v>
      </c>
      <c r="G93" s="128">
        <f t="shared" si="25"/>
        <v>5998.25</v>
      </c>
      <c r="H93" s="109"/>
      <c r="I93" s="66">
        <f>[3]relatorio!$G$766</f>
        <v>197.57</v>
      </c>
      <c r="J93" s="264">
        <f t="shared" si="26"/>
        <v>239.92900800000001</v>
      </c>
    </row>
    <row r="94" spans="1:10" s="54" customFormat="1" ht="41.4" x14ac:dyDescent="0.25">
      <c r="A94" s="134" t="s">
        <v>205</v>
      </c>
      <c r="B94" s="117" t="str">
        <f>[4]relatorio!$A$768</f>
        <v>'151803</v>
      </c>
      <c r="C94" s="78" t="str">
        <f>[4]relatorio!$C$768</f>
        <v>Ponto padrão de tomada 2 pólos mais terra - considerando eletroduto PVC rígido de 3/4" inclusive conexões (5.0m), fio isolado PVC de 2.5mm2 (16.5m) e caixa pvc 4x2" (1 und)</v>
      </c>
      <c r="D94" s="70" t="s">
        <v>164</v>
      </c>
      <c r="E94" s="71">
        <f>'MEMORIAL DE CALCULO'!J318</f>
        <v>26</v>
      </c>
      <c r="F94" s="66">
        <f t="shared" si="24"/>
        <v>242.35780799999998</v>
      </c>
      <c r="G94" s="128">
        <f t="shared" si="25"/>
        <v>6301.3600000000006</v>
      </c>
      <c r="H94" s="109"/>
      <c r="I94" s="66">
        <f>[4]relatorio!$G$768</f>
        <v>199.57</v>
      </c>
      <c r="J94" s="264">
        <f t="shared" si="26"/>
        <v>242.35780799999998</v>
      </c>
    </row>
    <row r="95" spans="1:10" s="54" customFormat="1" ht="41.4" x14ac:dyDescent="0.25">
      <c r="A95" s="134" t="s">
        <v>206</v>
      </c>
      <c r="B95" s="117" t="str">
        <f>[4]relatorio!$A$770</f>
        <v>'151806</v>
      </c>
      <c r="C95" s="78" t="str">
        <f>[4]relatorio!$C$770</f>
        <v>Ponto padrão de tomada para ar refrigerado - considerando eletroduto PVC rígido de 3/4" inclusive conexões (6.0m), fio isolado PVC de 4.0mm2 (21.6m) e caixa PVC 4x2" (1 und)</v>
      </c>
      <c r="D95" s="70" t="s">
        <v>164</v>
      </c>
      <c r="E95" s="71">
        <f>'MEMORIAL DE CALCULO'!J320</f>
        <v>11</v>
      </c>
      <c r="F95" s="66">
        <f>J95</f>
        <v>358.38158400000003</v>
      </c>
      <c r="G95" s="128">
        <f t="shared" si="25"/>
        <v>3942.18</v>
      </c>
      <c r="H95" s="109"/>
      <c r="I95" s="66">
        <f>[4]relatorio!$G$770</f>
        <v>295.11</v>
      </c>
      <c r="J95" s="264">
        <f t="shared" si="26"/>
        <v>358.38158400000003</v>
      </c>
    </row>
    <row r="96" spans="1:10" s="54" customFormat="1" ht="55.2" x14ac:dyDescent="0.25">
      <c r="A96" s="134" t="s">
        <v>287</v>
      </c>
      <c r="B96" s="117" t="str">
        <f>[4]relatorio!$A$774</f>
        <v>'151811</v>
      </c>
      <c r="C96" s="78" t="str">
        <f>[4]relatorio!$C$774</f>
        <v>Ponto padrão de interruptor de 1 tecla simples e 1 tomada dois pólos mais terra 10A/250V - considerando eletroduto PVC rígido de 3/4" inclusive conexões (4.5m), fio isolado PVC de 2.5mm2 (19.4m) e caixa PVC 4x2" (1 und)</v>
      </c>
      <c r="D96" s="70" t="s">
        <v>164</v>
      </c>
      <c r="E96" s="71">
        <f>'MEMORIAL DE CALCULO'!J322</f>
        <v>18</v>
      </c>
      <c r="F96" s="66">
        <f t="shared" si="24"/>
        <v>255.97123199999999</v>
      </c>
      <c r="G96" s="128">
        <f t="shared" si="25"/>
        <v>4607.46</v>
      </c>
      <c r="H96" s="109"/>
      <c r="I96" s="66">
        <f>[4]relatorio!$G$774</f>
        <v>210.78</v>
      </c>
      <c r="J96" s="264">
        <f t="shared" si="26"/>
        <v>255.97123199999999</v>
      </c>
    </row>
    <row r="97" spans="1:10" s="54" customFormat="1" x14ac:dyDescent="0.25">
      <c r="A97" s="129"/>
      <c r="B97" s="86"/>
      <c r="C97" s="87" t="s">
        <v>54</v>
      </c>
      <c r="D97" s="88" t="s">
        <v>55</v>
      </c>
      <c r="E97" s="227"/>
      <c r="F97" s="89"/>
      <c r="G97" s="136">
        <f>SUM(G88:G96)</f>
        <v>22420.739999999998</v>
      </c>
      <c r="H97" s="109"/>
      <c r="I97" s="66"/>
      <c r="J97" s="264"/>
    </row>
    <row r="98" spans="1:10" s="54" customFormat="1" x14ac:dyDescent="0.25">
      <c r="A98" s="132">
        <v>12</v>
      </c>
      <c r="B98" s="72"/>
      <c r="C98" s="73" t="s">
        <v>213</v>
      </c>
      <c r="D98" s="74"/>
      <c r="E98" s="231"/>
      <c r="F98" s="75"/>
      <c r="G98" s="133"/>
      <c r="H98" s="109"/>
      <c r="I98" s="66"/>
      <c r="J98" s="264"/>
    </row>
    <row r="99" spans="1:10" s="54" customFormat="1" ht="27.6" x14ac:dyDescent="0.25">
      <c r="A99" s="134" t="s">
        <v>79</v>
      </c>
      <c r="B99" s="76" t="str">
        <f>[4]relatorio!$A$900</f>
        <v>'170111</v>
      </c>
      <c r="C99" s="78" t="str">
        <f>[4]relatorio!$C$900</f>
        <v>Papeleira de louça branca, 15x15cm, marcas de referência Deca, Celite ou Ideal Standard.</v>
      </c>
      <c r="D99" s="70" t="s">
        <v>191</v>
      </c>
      <c r="E99" s="71">
        <f>'MEMORIAL DE CALCULO'!J325</f>
        <v>3</v>
      </c>
      <c r="F99" s="66">
        <f t="shared" si="24"/>
        <v>110.65612800000001</v>
      </c>
      <c r="G99" s="128">
        <f t="shared" si="25"/>
        <v>331.98</v>
      </c>
      <c r="H99" s="109"/>
      <c r="I99" s="66">
        <f>[4]relatorio!$G$900</f>
        <v>91.12</v>
      </c>
      <c r="J99" s="264">
        <f t="shared" si="26"/>
        <v>110.65612800000001</v>
      </c>
    </row>
    <row r="100" spans="1:10" s="54" customFormat="1" ht="41.4" x14ac:dyDescent="0.25">
      <c r="A100" s="134" t="s">
        <v>154</v>
      </c>
      <c r="B100" s="76" t="str">
        <f>[4]relatorio!$A$903</f>
        <v>'170116</v>
      </c>
      <c r="C100" s="78" t="str">
        <f>[4]relatorio!$C$903</f>
        <v>Vaso sanitário padrão popular completo com acessórios para ligação, marcas de referência Deca, Celite ou Ideal Standard, inclusive assento plástico</v>
      </c>
      <c r="D100" s="70" t="s">
        <v>191</v>
      </c>
      <c r="E100" s="71">
        <f>'MEMORIAL DE CALCULO'!J327</f>
        <v>3</v>
      </c>
      <c r="F100" s="66">
        <f t="shared" si="24"/>
        <v>513.37545599999999</v>
      </c>
      <c r="G100" s="128">
        <f t="shared" si="25"/>
        <v>1540.1399999999999</v>
      </c>
      <c r="H100" s="109"/>
      <c r="I100" s="66">
        <f>[4]relatorio!$G$903</f>
        <v>422.74</v>
      </c>
      <c r="J100" s="264">
        <f t="shared" si="26"/>
        <v>513.37545599999999</v>
      </c>
    </row>
    <row r="101" spans="1:10" s="54" customFormat="1" ht="41.4" x14ac:dyDescent="0.25">
      <c r="A101" s="134" t="s">
        <v>214</v>
      </c>
      <c r="B101" s="76" t="str">
        <f>[4]relatorio!$A$902</f>
        <v>'170115</v>
      </c>
      <c r="C101" s="78" t="str">
        <f>[4]relatorio!$C$902</f>
        <v>Cuba louça de embutir redonda, 30cm, L-41, completa, marcas de referência Deca, Celite ou Ideal Standard, incl. válvula e sifão, exclusive torneira</v>
      </c>
      <c r="D101" s="70" t="s">
        <v>191</v>
      </c>
      <c r="E101" s="71">
        <f>'MEMORIAL DE CALCULO'!J329</f>
        <v>3</v>
      </c>
      <c r="F101" s="66">
        <f t="shared" si="24"/>
        <v>408.15984000000003</v>
      </c>
      <c r="G101" s="128">
        <f t="shared" si="25"/>
        <v>1224.48</v>
      </c>
      <c r="H101" s="109"/>
      <c r="I101" s="66">
        <f>[4]relatorio!$G$902</f>
        <v>336.1</v>
      </c>
      <c r="J101" s="264">
        <f t="shared" si="26"/>
        <v>408.15984000000003</v>
      </c>
    </row>
    <row r="102" spans="1:10" s="54" customFormat="1" ht="27.6" x14ac:dyDescent="0.25">
      <c r="A102" s="134" t="s">
        <v>215</v>
      </c>
      <c r="B102" s="76" t="str">
        <f>[4]relatorio!$A$905</f>
        <v>'170118</v>
      </c>
      <c r="C102" s="78" t="str">
        <f>[4]relatorio!$C$905</f>
        <v>Saboneteira de louça branca de 7,5 x 15 cm, marcas de referência Deca, Celite ou Ideal Standard</v>
      </c>
      <c r="D102" s="70" t="s">
        <v>191</v>
      </c>
      <c r="E102" s="71">
        <f>'MEMORIAL DE CALCULO'!J331</f>
        <v>3</v>
      </c>
      <c r="F102" s="66">
        <f t="shared" si="24"/>
        <v>101.15952</v>
      </c>
      <c r="G102" s="128">
        <f t="shared" si="25"/>
        <v>303.48</v>
      </c>
      <c r="H102" s="109"/>
      <c r="I102" s="66">
        <f>[4]relatorio!$G$905</f>
        <v>83.3</v>
      </c>
      <c r="J102" s="264">
        <f t="shared" si="26"/>
        <v>101.15952</v>
      </c>
    </row>
    <row r="103" spans="1:10" s="54" customFormat="1" ht="27.6" x14ac:dyDescent="0.25">
      <c r="A103" s="134" t="s">
        <v>216</v>
      </c>
      <c r="B103" s="76" t="str">
        <f>[4]relatorio!$A$906</f>
        <v>'170119</v>
      </c>
      <c r="C103" s="78" t="str">
        <f>[4]relatorio!$C$906</f>
        <v>Cabide de louça branca com um gancho, marcas de referência Deca, Celite ou Ideal Standard</v>
      </c>
      <c r="D103" s="70" t="s">
        <v>191</v>
      </c>
      <c r="E103" s="71">
        <f>'MEMORIAL DE CALCULO'!J333</f>
        <v>3</v>
      </c>
      <c r="F103" s="66">
        <f t="shared" si="24"/>
        <v>71.115263999999996</v>
      </c>
      <c r="G103" s="128">
        <f t="shared" si="25"/>
        <v>213.36</v>
      </c>
      <c r="H103" s="109"/>
      <c r="I103" s="66">
        <f>[4]relatorio!$G$906</f>
        <v>58.56</v>
      </c>
      <c r="J103" s="264">
        <f t="shared" si="26"/>
        <v>71.115263999999996</v>
      </c>
    </row>
    <row r="104" spans="1:10" s="54" customFormat="1" x14ac:dyDescent="0.25">
      <c r="A104" s="134" t="s">
        <v>217</v>
      </c>
      <c r="B104" s="76" t="str">
        <f>[4]relatorio!$A$925</f>
        <v>'170205</v>
      </c>
      <c r="C104" s="78" t="str">
        <f>[4]relatorio!$C$925</f>
        <v>Bancada de mármore esp. 3cm</v>
      </c>
      <c r="D104" s="70" t="s">
        <v>53</v>
      </c>
      <c r="E104" s="71">
        <f>'MEMORIAL DE CALCULO'!J335</f>
        <v>2</v>
      </c>
      <c r="F104" s="66">
        <f t="shared" si="24"/>
        <v>471.70939199999998</v>
      </c>
      <c r="G104" s="128">
        <f t="shared" si="25"/>
        <v>943.42</v>
      </c>
      <c r="H104" s="109"/>
      <c r="I104" s="66">
        <f>[4]relatorio!$G$925</f>
        <v>388.43</v>
      </c>
      <c r="J104" s="264">
        <f t="shared" si="26"/>
        <v>471.70939199999998</v>
      </c>
    </row>
    <row r="105" spans="1:10" s="54" customFormat="1" ht="27.6" x14ac:dyDescent="0.25">
      <c r="A105" s="134" t="s">
        <v>218</v>
      </c>
      <c r="B105" s="76" t="str">
        <f>[4]relatorio!$A$930</f>
        <v>'170304</v>
      </c>
      <c r="C105" s="78" t="str">
        <f>[4]relatorio!$C$930</f>
        <v>Torneira pressão cromada diâm. 1/2" para lavatório, marcas de referência Fabrimar, Deca ou Docol</v>
      </c>
      <c r="D105" s="70" t="s">
        <v>191</v>
      </c>
      <c r="E105" s="71">
        <f>'MEMORIAL DE CALCULO'!J337</f>
        <v>2</v>
      </c>
      <c r="F105" s="66">
        <f t="shared" si="24"/>
        <v>197.012112</v>
      </c>
      <c r="G105" s="128">
        <f t="shared" si="25"/>
        <v>394.02</v>
      </c>
      <c r="H105" s="109"/>
      <c r="I105" s="66">
        <f>[4]relatorio!$G$930</f>
        <v>162.22999999999999</v>
      </c>
      <c r="J105" s="264">
        <f t="shared" si="26"/>
        <v>197.012112</v>
      </c>
    </row>
    <row r="106" spans="1:10" s="54" customFormat="1" x14ac:dyDescent="0.25">
      <c r="A106" s="134" t="s">
        <v>219</v>
      </c>
      <c r="B106" s="76" t="str">
        <f>[4]relatorio!$A$941</f>
        <v>'170320</v>
      </c>
      <c r="C106" s="78" t="str">
        <f>[4]relatorio!$C$941</f>
        <v>Registro de gaveta bruto diam. 20mm (3/4")</v>
      </c>
      <c r="D106" s="70" t="s">
        <v>191</v>
      </c>
      <c r="E106" s="71">
        <f>'MEMORIAL DE CALCULO'!J339</f>
        <v>2</v>
      </c>
      <c r="F106" s="66">
        <f t="shared" si="24"/>
        <v>70.678080000000008</v>
      </c>
      <c r="G106" s="128">
        <f t="shared" si="25"/>
        <v>141.36000000000001</v>
      </c>
      <c r="H106" s="109"/>
      <c r="I106" s="66">
        <f>[4]relatorio!$G$941</f>
        <v>58.2</v>
      </c>
      <c r="J106" s="264">
        <f t="shared" si="26"/>
        <v>70.678080000000008</v>
      </c>
    </row>
    <row r="107" spans="1:10" s="54" customFormat="1" ht="27.6" x14ac:dyDescent="0.25">
      <c r="A107" s="134" t="s">
        <v>220</v>
      </c>
      <c r="B107" s="76" t="str">
        <f>[4]relatorio!$A$974</f>
        <v>'170506</v>
      </c>
      <c r="C107" s="78" t="str">
        <f>[4]relatorio!$C$974</f>
        <v>Reservatório de polietileno de 500 L, inclusive adaptadores com flanges de PVC e torneira de bóia de 3/4"</v>
      </c>
      <c r="D107" s="70" t="s">
        <v>191</v>
      </c>
      <c r="E107" s="71">
        <f>'MEMORIAL DE CALCULO'!J341</f>
        <v>1</v>
      </c>
      <c r="F107" s="66">
        <f t="shared" si="24"/>
        <v>790.45295999999996</v>
      </c>
      <c r="G107" s="128">
        <f t="shared" si="25"/>
        <v>790.45</v>
      </c>
      <c r="H107" s="109"/>
      <c r="I107" s="66">
        <f>[4]relatorio!$G$974</f>
        <v>650.9</v>
      </c>
      <c r="J107" s="264">
        <f t="shared" si="26"/>
        <v>790.45295999999996</v>
      </c>
    </row>
    <row r="108" spans="1:10" s="54" customFormat="1" x14ac:dyDescent="0.25">
      <c r="A108" s="129"/>
      <c r="B108" s="86"/>
      <c r="C108" s="87" t="s">
        <v>54</v>
      </c>
      <c r="D108" s="88" t="s">
        <v>55</v>
      </c>
      <c r="E108" s="227"/>
      <c r="F108" s="89"/>
      <c r="G108" s="136">
        <f>SUM(G99:G107)</f>
        <v>5882.6899999999987</v>
      </c>
      <c r="H108" s="109"/>
      <c r="I108" s="66"/>
      <c r="J108" s="264"/>
    </row>
    <row r="109" spans="1:10" s="54" customFormat="1" x14ac:dyDescent="0.25">
      <c r="A109" s="132">
        <v>13</v>
      </c>
      <c r="B109" s="72"/>
      <c r="C109" s="73" t="s">
        <v>221</v>
      </c>
      <c r="D109" s="74"/>
      <c r="E109" s="231"/>
      <c r="F109" s="75"/>
      <c r="G109" s="133"/>
      <c r="H109" s="109"/>
      <c r="I109" s="66"/>
      <c r="J109" s="264"/>
    </row>
    <row r="110" spans="1:10" s="54" customFormat="1" ht="41.4" x14ac:dyDescent="0.25">
      <c r="A110" s="134" t="s">
        <v>155</v>
      </c>
      <c r="B110" s="76" t="str">
        <f>[4]relatorio!$A$1015</f>
        <v>'180109</v>
      </c>
      <c r="C110" s="324" t="str">
        <f>[4]relatorio!$C$1015</f>
        <v>Luminária para uma lâmpada fluorescente 40W, completa, c/ reator simples-127V partida rápida alto fator de potência, soquete antivibratório e lâmpada fluorescente 40W-127V</v>
      </c>
      <c r="D110" s="70" t="s">
        <v>191</v>
      </c>
      <c r="E110" s="245">
        <f>'MEMORIAL DE CALCULO'!J344</f>
        <v>25</v>
      </c>
      <c r="F110" s="66">
        <f t="shared" si="24"/>
        <v>161.16302400000001</v>
      </c>
      <c r="G110" s="128">
        <f t="shared" si="25"/>
        <v>4029</v>
      </c>
      <c r="H110" s="109"/>
      <c r="I110" s="66">
        <f>[4]relatorio!$G$1015</f>
        <v>132.71</v>
      </c>
      <c r="J110" s="264">
        <f t="shared" si="26"/>
        <v>161.16302400000001</v>
      </c>
    </row>
    <row r="111" spans="1:10" s="54" customFormat="1" ht="27.6" x14ac:dyDescent="0.25">
      <c r="A111" s="134" t="s">
        <v>207</v>
      </c>
      <c r="B111" s="76" t="str">
        <f>[4]relatorio!$A$1021</f>
        <v>'180201</v>
      </c>
      <c r="C111" s="324" t="str">
        <f>[4]relatorio!$C$1021</f>
        <v>Tomada padrão brasileiro linha branca, NBR 14136 2 polos + terra 10A/250V, com placa 4x2"</v>
      </c>
      <c r="D111" s="70" t="s">
        <v>191</v>
      </c>
      <c r="E111" s="245">
        <f>'MEMORIAL DE CALCULO'!J346</f>
        <v>26</v>
      </c>
      <c r="F111" s="66">
        <f t="shared" si="24"/>
        <v>42.248975999999999</v>
      </c>
      <c r="G111" s="128">
        <f t="shared" si="25"/>
        <v>1098.5</v>
      </c>
      <c r="H111" s="109"/>
      <c r="I111" s="66">
        <f>[4]relatorio!$G$1021</f>
        <v>34.79</v>
      </c>
      <c r="J111" s="264">
        <f t="shared" si="26"/>
        <v>42.248975999999999</v>
      </c>
    </row>
    <row r="112" spans="1:10" s="54" customFormat="1" ht="27.6" x14ac:dyDescent="0.25">
      <c r="A112" s="134" t="s">
        <v>208</v>
      </c>
      <c r="B112" s="76" t="str">
        <f>[4]relatorio!$A$1022</f>
        <v>'180202</v>
      </c>
      <c r="C112" s="324" t="str">
        <f>[4]relatorio!$C$1022</f>
        <v>Tomada padrão brasileiro linha branca, NBR 14136 2 polos + terra 20A/250V, com placa 4x2"</v>
      </c>
      <c r="D112" s="70" t="s">
        <v>191</v>
      </c>
      <c r="E112" s="245">
        <f>'MEMORIAL DE CALCULO'!J348</f>
        <v>11</v>
      </c>
      <c r="F112" s="66">
        <f t="shared" si="24"/>
        <v>48.527424000000003</v>
      </c>
      <c r="G112" s="128">
        <f t="shared" si="25"/>
        <v>533.83000000000004</v>
      </c>
      <c r="H112" s="109"/>
      <c r="I112" s="66">
        <f>[4]relatorio!$G$1022</f>
        <v>39.96</v>
      </c>
      <c r="J112" s="264">
        <f t="shared" si="26"/>
        <v>48.527424000000003</v>
      </c>
    </row>
    <row r="113" spans="1:11" s="54" customFormat="1" ht="27.6" x14ac:dyDescent="0.25">
      <c r="A113" s="134" t="s">
        <v>209</v>
      </c>
      <c r="B113" s="76" t="str">
        <f>[4]relatorio!$A$1026</f>
        <v>'180207</v>
      </c>
      <c r="C113" s="324" t="str">
        <f>[4]relatorio!$C$1026</f>
        <v>Interruptor de uma tecla simples 10A/250V e uma tomada 3 polos 10A/250V, padrão brasileiro, NBR 14136, linha branca, com placa 4x2"</v>
      </c>
      <c r="D113" s="70" t="s">
        <v>191</v>
      </c>
      <c r="E113" s="245">
        <f>'MEMORIAL DE CALCULO'!J350</f>
        <v>18</v>
      </c>
      <c r="F113" s="66">
        <f t="shared" si="24"/>
        <v>71.503872000000001</v>
      </c>
      <c r="G113" s="128">
        <f t="shared" si="25"/>
        <v>1287</v>
      </c>
      <c r="H113" s="109"/>
      <c r="I113" s="66">
        <f>[4]relatorio!$G$1026</f>
        <v>58.88</v>
      </c>
      <c r="J113" s="264">
        <f t="shared" si="26"/>
        <v>71.503872000000001</v>
      </c>
    </row>
    <row r="114" spans="1:11" s="54" customFormat="1" ht="41.4" x14ac:dyDescent="0.25">
      <c r="A114" s="134" t="s">
        <v>210</v>
      </c>
      <c r="B114" s="117" t="s">
        <v>222</v>
      </c>
      <c r="C114" s="308" t="str">
        <f>[6]sheet1!$B$338</f>
        <v>AR CONDICIONADO SPLIT ON/OFF, HI-WALL (PAREDE), 9000 BTUS/H, CICLO FRIO, 60 HZ, CLASSIFICACAO ENERGETICA A - SELO PROCEL, GAS HFC, CONTROLE S/ FIO</v>
      </c>
      <c r="D114" s="70" t="s">
        <v>191</v>
      </c>
      <c r="E114" s="245">
        <f>'MEMORIAL DE CALCULO'!J352</f>
        <v>9</v>
      </c>
      <c r="F114" s="66">
        <f t="shared" si="24"/>
        <v>1676.0298720000001</v>
      </c>
      <c r="G114" s="128">
        <f t="shared" si="25"/>
        <v>15084.27</v>
      </c>
      <c r="H114" s="109"/>
      <c r="I114" s="323" t="str">
        <f>[6]sheet1!$E$338</f>
        <v>1.380,13</v>
      </c>
      <c r="J114" s="264">
        <f t="shared" si="26"/>
        <v>1676.0298720000001</v>
      </c>
    </row>
    <row r="115" spans="1:11" s="54" customFormat="1" ht="41.4" x14ac:dyDescent="0.25">
      <c r="A115" s="134" t="s">
        <v>211</v>
      </c>
      <c r="B115" s="117" t="s">
        <v>223</v>
      </c>
      <c r="C115" s="308" t="str">
        <f>[6]sheet1!$B$332</f>
        <v>AR CONDICIONADO SPLIT ON/OFF, HI-WALL (PAREDE), 12000 BTUS/H, CICLO FRIO, 60 HZ, CLASSIFICACAO ENERGETICA A - SELO PROCEL, GAS HFC, CONTROLE S/ FIO</v>
      </c>
      <c r="D115" s="70" t="s">
        <v>191</v>
      </c>
      <c r="E115" s="245">
        <f>'MEMORIAL DE CALCULO'!J354</f>
        <v>1</v>
      </c>
      <c r="F115" s="66">
        <f t="shared" si="24"/>
        <v>1956.4469759999999</v>
      </c>
      <c r="G115" s="128">
        <f t="shared" si="25"/>
        <v>1956.45</v>
      </c>
      <c r="H115" s="109"/>
      <c r="I115" s="323" t="str">
        <f>[6]sheet1!$E$332</f>
        <v>1.611,04</v>
      </c>
      <c r="J115" s="264">
        <f t="shared" si="26"/>
        <v>1956.4469759999999</v>
      </c>
    </row>
    <row r="116" spans="1:11" s="54" customFormat="1" x14ac:dyDescent="0.25">
      <c r="A116" s="129"/>
      <c r="B116" s="86"/>
      <c r="C116" s="87" t="s">
        <v>54</v>
      </c>
      <c r="D116" s="88" t="s">
        <v>55</v>
      </c>
      <c r="E116" s="227"/>
      <c r="F116" s="89"/>
      <c r="G116" s="136">
        <f>SUM(G110:G115)</f>
        <v>23989.05</v>
      </c>
      <c r="H116" s="109"/>
      <c r="I116" s="89"/>
      <c r="J116" s="264"/>
    </row>
    <row r="117" spans="1:11" s="57" customFormat="1" x14ac:dyDescent="0.25">
      <c r="A117" s="132">
        <v>14</v>
      </c>
      <c r="B117" s="72"/>
      <c r="C117" s="73" t="s">
        <v>37</v>
      </c>
      <c r="D117" s="74"/>
      <c r="E117" s="231"/>
      <c r="F117" s="75"/>
      <c r="G117" s="133"/>
      <c r="H117" s="111"/>
      <c r="I117" s="75"/>
      <c r="J117" s="264"/>
    </row>
    <row r="118" spans="1:11" s="57" customFormat="1" ht="27.6" x14ac:dyDescent="0.25">
      <c r="A118" s="127" t="s">
        <v>212</v>
      </c>
      <c r="B118" s="65" t="str">
        <f>'[1]relatorio-13'!$A$1073</f>
        <v>'190115</v>
      </c>
      <c r="C118" s="78" t="str">
        <f>'[1]relatorio-13'!$C$1073</f>
        <v>Pintura com tinta látex PVA, marcas de referência Suvinil, Coral ou Metalatex, inclusive selador, em paredes e forros, a duas demãos</v>
      </c>
      <c r="D118" s="95" t="s">
        <v>53</v>
      </c>
      <c r="E118" s="245">
        <f>'MEMORIAL DE CALCULO'!J357</f>
        <v>883.9</v>
      </c>
      <c r="F118" s="66">
        <f>J118</f>
        <v>20.438351999999998</v>
      </c>
      <c r="G118" s="128">
        <f>ROUND(E118,2)*ROUND(F118,2)</f>
        <v>18066.916000000001</v>
      </c>
      <c r="H118" s="111"/>
      <c r="I118" s="66">
        <f>[3]relatorio!$G$1069</f>
        <v>16.829999999999998</v>
      </c>
      <c r="J118" s="264">
        <f>SUM((I118*$G$5)+I118)</f>
        <v>20.438351999999998</v>
      </c>
    </row>
    <row r="119" spans="1:11" s="53" customFormat="1" ht="43.2" x14ac:dyDescent="0.4">
      <c r="A119" s="134" t="s">
        <v>225</v>
      </c>
      <c r="B119" s="76" t="str">
        <f>'[1]relatorio-13'!$A$1090</f>
        <v>'190417</v>
      </c>
      <c r="C119" s="115" t="str">
        <f>'[1]relatorio-13'!$C$1090</f>
        <v>Pintura com tinta esmalte sintético, marcas de referência Suvinil, Coral ou Metalatex, a duas demãos, inclusive fundo anticorrosivo a uma demão, em metal</v>
      </c>
      <c r="D119" s="70" t="s">
        <v>53</v>
      </c>
      <c r="E119" s="245">
        <f>'MEMORIAL DE CALCULO'!J359</f>
        <v>23.939999999999998</v>
      </c>
      <c r="F119" s="90">
        <f>J119</f>
        <v>23.243616000000003</v>
      </c>
      <c r="G119" s="131">
        <f>ROUND(E119,2)*ROUND(F119,2)</f>
        <v>556.36559999999997</v>
      </c>
      <c r="H119" s="114"/>
      <c r="I119" s="90">
        <f>[3]relatorio!$G$1086</f>
        <v>19.14</v>
      </c>
      <c r="J119" s="264">
        <f>SUM((I119*$G$5)+I119)</f>
        <v>23.243616000000003</v>
      </c>
      <c r="K119" s="260"/>
    </row>
    <row r="120" spans="1:11" s="53" customFormat="1" ht="22.8" x14ac:dyDescent="0.4">
      <c r="A120" s="311"/>
      <c r="B120" s="312"/>
      <c r="C120" s="313" t="s">
        <v>54</v>
      </c>
      <c r="D120" s="314" t="s">
        <v>55</v>
      </c>
      <c r="E120" s="315"/>
      <c r="F120" s="316"/>
      <c r="G120" s="317">
        <f>SUM(G118:G119)</f>
        <v>18623.281600000002</v>
      </c>
      <c r="H120" s="114"/>
      <c r="I120" s="90"/>
      <c r="J120" s="264"/>
      <c r="K120" s="260"/>
    </row>
    <row r="121" spans="1:11" s="53" customFormat="1" ht="18.600000000000001" customHeight="1" x14ac:dyDescent="0.4">
      <c r="A121" s="132">
        <v>15</v>
      </c>
      <c r="B121" s="72"/>
      <c r="C121" s="73" t="s">
        <v>224</v>
      </c>
      <c r="D121" s="74"/>
      <c r="E121" s="231"/>
      <c r="F121" s="75"/>
      <c r="G121" s="133"/>
      <c r="H121" s="114"/>
      <c r="I121" s="90"/>
      <c r="J121" s="264"/>
      <c r="K121" s="260"/>
    </row>
    <row r="122" spans="1:11" s="53" customFormat="1" ht="43.2" x14ac:dyDescent="0.4">
      <c r="A122" s="127" t="s">
        <v>226</v>
      </c>
      <c r="B122" s="65" t="str">
        <f>[4]relatorio!$A$1112</f>
        <v>'200209</v>
      </c>
      <c r="C122" s="329" t="str">
        <f>[4]relatorio!$C$1112</f>
        <v>Passeio de cimentado camurçado com argamassa de cimento e areia no traço 1:3 esp. 1.5cm, e lastro de concreto com 8cm de espessura, inclusive preparo de caixa</v>
      </c>
      <c r="D122" s="95" t="s">
        <v>53</v>
      </c>
      <c r="E122" s="245">
        <f>'MEMORIAL DE CALCULO'!J362</f>
        <v>20.46</v>
      </c>
      <c r="F122" s="66">
        <f>J122</f>
        <v>153.293712</v>
      </c>
      <c r="G122" s="128">
        <f>ROUND(E122,2)*ROUND(F122,2)</f>
        <v>3136.3134</v>
      </c>
      <c r="H122" s="114"/>
      <c r="I122" s="90">
        <f>[4]relatorio!$G$1112</f>
        <v>126.23</v>
      </c>
      <c r="J122" s="264">
        <f>SUM((I122*$G$5)+I122)</f>
        <v>153.293712</v>
      </c>
      <c r="K122" s="260"/>
    </row>
    <row r="123" spans="1:11" s="53" customFormat="1" ht="27.6" x14ac:dyDescent="0.4">
      <c r="A123" s="325" t="s">
        <v>228</v>
      </c>
      <c r="B123" s="326" t="str">
        <f>[4]relatorio!$A$1173</f>
        <v>'210301</v>
      </c>
      <c r="C123" s="330" t="str">
        <f>[4]relatorio!$C$1173</f>
        <v>Guarda corpo de tubo de ferro galvanizado, diâm. 3" e 2", h=0.8 m inclusive pintura a óleo ou esmalte</v>
      </c>
      <c r="D123" s="327" t="s">
        <v>73</v>
      </c>
      <c r="E123" s="328">
        <f>'MEMORIAL DE CALCULO'!J364</f>
        <v>26.4</v>
      </c>
      <c r="F123" s="66">
        <f>J123</f>
        <v>475.71691200000004</v>
      </c>
      <c r="G123" s="128">
        <f>ROUND(E123,2)*ROUND(F123,2)</f>
        <v>12559.008</v>
      </c>
      <c r="H123" s="114"/>
      <c r="I123" s="90">
        <f>[4]relatorio!$G$1173</f>
        <v>391.73</v>
      </c>
      <c r="J123" s="264">
        <f>SUM((I123*$G$5)+I123)</f>
        <v>475.71691200000004</v>
      </c>
      <c r="K123" s="260"/>
    </row>
    <row r="124" spans="1:11" s="53" customFormat="1" ht="22.8" x14ac:dyDescent="0.4">
      <c r="A124" s="311"/>
      <c r="B124" s="312"/>
      <c r="C124" s="313" t="s">
        <v>54</v>
      </c>
      <c r="D124" s="314" t="s">
        <v>55</v>
      </c>
      <c r="E124" s="315"/>
      <c r="F124" s="316"/>
      <c r="G124" s="317">
        <f>SUM(G122:G123)</f>
        <v>15695.321400000001</v>
      </c>
      <c r="H124" s="114"/>
      <c r="I124" s="90"/>
      <c r="J124" s="264"/>
      <c r="K124" s="260"/>
    </row>
    <row r="125" spans="1:11" s="57" customFormat="1" x14ac:dyDescent="0.25">
      <c r="A125" s="132">
        <v>16</v>
      </c>
      <c r="B125" s="72"/>
      <c r="C125" s="73" t="s">
        <v>125</v>
      </c>
      <c r="D125" s="74"/>
      <c r="E125" s="231"/>
      <c r="F125" s="75"/>
      <c r="G125" s="133"/>
      <c r="H125" s="111"/>
      <c r="I125" s="75"/>
      <c r="J125" s="264"/>
    </row>
    <row r="126" spans="1:11" s="57" customFormat="1" ht="13.5" customHeight="1" x14ac:dyDescent="0.25">
      <c r="A126" s="127" t="s">
        <v>227</v>
      </c>
      <c r="B126" s="65" t="str">
        <f>'[1]relatorio-13'!$A$1132</f>
        <v>'200401</v>
      </c>
      <c r="C126" s="96" t="str">
        <f>'[1]relatorio-13'!$C$1132</f>
        <v>Limpeza geral da obra (edificação)</v>
      </c>
      <c r="D126" s="95" t="s">
        <v>53</v>
      </c>
      <c r="E126" s="245">
        <f>'MEMORIAL DE CALCULO'!J367</f>
        <v>156.9</v>
      </c>
      <c r="F126" s="66">
        <f>J126</f>
        <v>11.949695999999999</v>
      </c>
      <c r="G126" s="128">
        <f>ROUND(E126,2)*ROUND(F126,2)</f>
        <v>1874.9549999999999</v>
      </c>
      <c r="H126" s="111"/>
      <c r="I126" s="66">
        <f>[3]relatorio!$G$1128</f>
        <v>9.84</v>
      </c>
      <c r="J126" s="264">
        <f>SUM((I126*$G$5)+I126)</f>
        <v>11.949695999999999</v>
      </c>
    </row>
    <row r="127" spans="1:11" s="57" customFormat="1" x14ac:dyDescent="0.25">
      <c r="A127" s="311"/>
      <c r="B127" s="312"/>
      <c r="C127" s="313" t="s">
        <v>54</v>
      </c>
      <c r="D127" s="314" t="s">
        <v>55</v>
      </c>
      <c r="E127" s="315"/>
      <c r="F127" s="316"/>
      <c r="G127" s="317">
        <f>SUM(G126)</f>
        <v>1874.9549999999999</v>
      </c>
      <c r="H127" s="111"/>
      <c r="I127" s="89"/>
      <c r="J127" s="264"/>
    </row>
    <row r="128" spans="1:11" s="57" customFormat="1" x14ac:dyDescent="0.25">
      <c r="A128" s="318"/>
      <c r="B128" s="318"/>
      <c r="C128" s="319"/>
      <c r="D128" s="320"/>
      <c r="E128" s="321"/>
      <c r="F128" s="322"/>
      <c r="G128" s="322"/>
      <c r="H128" s="111"/>
      <c r="I128" s="309"/>
      <c r="J128" s="310"/>
    </row>
    <row r="129" spans="1:9" s="58" customFormat="1" ht="33" customHeight="1" thickBot="1" x14ac:dyDescent="0.25">
      <c r="A129" s="392"/>
      <c r="B129" s="393"/>
      <c r="C129" s="393"/>
      <c r="D129" s="393"/>
      <c r="E129" s="383" t="s">
        <v>230</v>
      </c>
      <c r="F129" s="383"/>
      <c r="G129" s="331">
        <f>E130/39.99</f>
        <v>11140.828624656164</v>
      </c>
      <c r="H129" s="112"/>
      <c r="I129" s="350"/>
    </row>
    <row r="130" spans="1:9" s="59" customFormat="1" ht="45.6" customHeight="1" thickBot="1" x14ac:dyDescent="0.3">
      <c r="A130" s="386" t="s">
        <v>229</v>
      </c>
      <c r="B130" s="387"/>
      <c r="C130" s="387"/>
      <c r="D130" s="388"/>
      <c r="E130" s="389">
        <f>SUM(G11+G31+G35+G46+G54+G58+G63+G68+G73+G86+G97+G108+G116+G120+G124+G127)</f>
        <v>445521.73670000001</v>
      </c>
      <c r="F130" s="390"/>
      <c r="G130" s="391"/>
    </row>
    <row r="131" spans="1:9" s="56" customFormat="1" x14ac:dyDescent="0.25">
      <c r="A131" s="371"/>
      <c r="B131" s="372"/>
      <c r="C131" s="372"/>
      <c r="D131" s="144"/>
      <c r="E131" s="232"/>
      <c r="F131" s="97"/>
      <c r="G131" s="145"/>
    </row>
    <row r="132" spans="1:9" s="56" customFormat="1" ht="13.5" customHeight="1" x14ac:dyDescent="0.25">
      <c r="A132" s="142"/>
      <c r="B132" s="143"/>
      <c r="C132" s="143"/>
      <c r="D132" s="144"/>
      <c r="E132" s="232"/>
      <c r="F132" s="97"/>
      <c r="G132" s="145"/>
    </row>
    <row r="133" spans="1:9" s="56" customFormat="1" ht="18.75" customHeight="1" x14ac:dyDescent="0.25">
      <c r="A133" s="363" t="s">
        <v>99</v>
      </c>
      <c r="B133" s="364"/>
      <c r="C133" s="364"/>
      <c r="D133" s="144" t="s">
        <v>231</v>
      </c>
      <c r="E133" s="232"/>
      <c r="F133" s="97"/>
      <c r="G133" s="145"/>
    </row>
    <row r="134" spans="1:9" s="56" customFormat="1" x14ac:dyDescent="0.25">
      <c r="A134" s="365" t="s">
        <v>143</v>
      </c>
      <c r="B134" s="366"/>
      <c r="C134" s="367"/>
      <c r="D134" s="144"/>
      <c r="E134" s="97" t="s">
        <v>142</v>
      </c>
      <c r="F134" s="97"/>
      <c r="G134" s="145"/>
    </row>
    <row r="135" spans="1:9" s="56" customFormat="1" x14ac:dyDescent="0.25">
      <c r="A135" s="365" t="s">
        <v>144</v>
      </c>
      <c r="B135" s="366"/>
      <c r="C135" s="367"/>
      <c r="D135" s="368" t="s">
        <v>96</v>
      </c>
      <c r="E135" s="369"/>
      <c r="F135" s="369"/>
      <c r="G135" s="370"/>
    </row>
    <row r="136" spans="1:9" s="56" customFormat="1" ht="11.25" customHeight="1" thickBot="1" x14ac:dyDescent="0.3">
      <c r="A136" s="361"/>
      <c r="B136" s="362"/>
      <c r="C136" s="362"/>
      <c r="D136" s="140"/>
      <c r="E136" s="233"/>
      <c r="F136" s="141"/>
      <c r="G136" s="141"/>
    </row>
    <row r="137" spans="1:9" s="56" customFormat="1" x14ac:dyDescent="0.25">
      <c r="A137" s="137"/>
      <c r="B137" s="138"/>
      <c r="C137" s="138"/>
      <c r="D137" s="138"/>
      <c r="E137" s="234"/>
      <c r="F137" s="138"/>
      <c r="G137" s="139"/>
    </row>
    <row r="138" spans="1:9" s="56" customFormat="1" x14ac:dyDescent="0.25">
      <c r="A138" s="100"/>
      <c r="B138" s="99"/>
      <c r="C138" s="99"/>
      <c r="D138" s="101"/>
      <c r="E138" s="235"/>
      <c r="F138" s="98"/>
      <c r="G138" s="98"/>
    </row>
    <row r="139" spans="1:9" s="56" customFormat="1" x14ac:dyDescent="0.25">
      <c r="A139" s="100"/>
      <c r="B139" s="99"/>
      <c r="C139" s="102">
        <v>41666</v>
      </c>
      <c r="D139" s="103"/>
      <c r="E139" s="235"/>
      <c r="F139" s="98"/>
      <c r="G139" s="98"/>
    </row>
    <row r="140" spans="1:9" x14ac:dyDescent="0.25">
      <c r="C140" s="68">
        <v>247</v>
      </c>
    </row>
    <row r="141" spans="1:9" x14ac:dyDescent="0.25">
      <c r="C141" s="107">
        <f>C139+C140</f>
        <v>41913</v>
      </c>
    </row>
  </sheetData>
  <sheetProtection selectLockedCells="1" selectUnlockedCells="1"/>
  <mergeCells count="18">
    <mergeCell ref="A131:C131"/>
    <mergeCell ref="C1:G1"/>
    <mergeCell ref="C2:G2"/>
    <mergeCell ref="A5:A6"/>
    <mergeCell ref="B5:B6"/>
    <mergeCell ref="C5:C6"/>
    <mergeCell ref="D5:D6"/>
    <mergeCell ref="E5:F5"/>
    <mergeCell ref="E129:F129"/>
    <mergeCell ref="A2:B2"/>
    <mergeCell ref="A130:D130"/>
    <mergeCell ref="E130:G130"/>
    <mergeCell ref="A129:D129"/>
    <mergeCell ref="A136:C136"/>
    <mergeCell ref="A133:C133"/>
    <mergeCell ref="A134:C134"/>
    <mergeCell ref="A135:C135"/>
    <mergeCell ref="D135:G1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rstPageNumber="0" orientation="portrait" horizontalDpi="300" verticalDpi="300" r:id="rId1"/>
  <headerFooter alignWithMargins="0">
    <oddFooter>&amp;CCASA &amp;RPÁGINA &amp;P DE &amp;N</oddFooter>
  </headerFooter>
  <rowBreaks count="2" manualBreakCount="2">
    <brk id="46" max="6" man="1"/>
    <brk id="9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5442-2F6F-4496-B399-41D4234A0BF6}">
  <dimension ref="A1:N472"/>
  <sheetViews>
    <sheetView zoomScaleNormal="10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J10" sqref="J10"/>
    </sheetView>
  </sheetViews>
  <sheetFormatPr defaultRowHeight="13.2" x14ac:dyDescent="0.25"/>
  <cols>
    <col min="1" max="1" width="13.33203125" style="206" customWidth="1"/>
    <col min="2" max="2" width="58.88671875" customWidth="1"/>
    <col min="3" max="3" width="19.44140625" bestFit="1" customWidth="1"/>
    <col min="4" max="4" width="12.44140625" bestFit="1" customWidth="1"/>
    <col min="5" max="5" width="13.77734375" bestFit="1" customWidth="1"/>
    <col min="6" max="6" width="12.6640625" style="238" bestFit="1" customWidth="1"/>
    <col min="7" max="7" width="12.44140625" customWidth="1"/>
    <col min="8" max="8" width="9.77734375" style="238" bestFit="1" customWidth="1"/>
    <col min="9" max="9" width="12.77734375" bestFit="1" customWidth="1"/>
    <col min="10" max="10" width="8.5546875" bestFit="1" customWidth="1"/>
    <col min="11" max="11" width="12" bestFit="1" customWidth="1"/>
    <col min="13" max="13" width="9.5546875" customWidth="1"/>
    <col min="14" max="14" width="9.77734375" customWidth="1"/>
  </cols>
  <sheetData>
    <row r="1" spans="1:14" ht="13.8" x14ac:dyDescent="0.25">
      <c r="A1" s="395"/>
      <c r="B1" s="397" t="s">
        <v>80</v>
      </c>
      <c r="C1" s="397"/>
      <c r="D1" s="397"/>
      <c r="E1" s="397"/>
      <c r="F1" s="397"/>
      <c r="G1" s="397"/>
      <c r="H1" s="397"/>
      <c r="I1" s="397"/>
      <c r="J1" s="397"/>
    </row>
    <row r="2" spans="1:14" ht="15.6" x14ac:dyDescent="0.25">
      <c r="A2" s="395"/>
      <c r="B2" s="396" t="s">
        <v>156</v>
      </c>
      <c r="C2" s="396"/>
      <c r="D2" s="396"/>
      <c r="E2" s="396"/>
      <c r="F2" s="396"/>
      <c r="G2" s="396"/>
      <c r="H2" s="396"/>
      <c r="I2" s="396"/>
      <c r="J2" s="396"/>
    </row>
    <row r="3" spans="1:14" ht="13.8" x14ac:dyDescent="0.25">
      <c r="A3" s="395"/>
      <c r="B3" s="398" t="str">
        <f>ORÇAMENTO!C3</f>
        <v>OBRA / SERVIÇO : AMPLIAÇÃO DA SECRETÁRIA MUNICIPAL DE SAÚDE.</v>
      </c>
      <c r="C3" s="398"/>
      <c r="D3" s="398"/>
      <c r="E3" s="398"/>
      <c r="F3" s="398"/>
      <c r="G3" s="398"/>
      <c r="H3" s="398"/>
      <c r="I3" s="398"/>
      <c r="J3" s="398"/>
    </row>
    <row r="4" spans="1:14" ht="30" customHeight="1" x14ac:dyDescent="0.25">
      <c r="A4" s="395"/>
      <c r="B4" s="399" t="str">
        <f>ORÇAMENTO!C4</f>
        <v>LOCAL: PRAÇA JOSÉ VALENTIM LOPES - BAIRRO CENTRO - ATILIO VIVACQUA - ES</v>
      </c>
      <c r="C4" s="399"/>
      <c r="D4" s="399"/>
      <c r="E4" s="399"/>
      <c r="F4" s="399"/>
      <c r="G4" s="399"/>
      <c r="H4" s="399"/>
      <c r="I4" s="204" t="s">
        <v>92</v>
      </c>
      <c r="J4" s="205">
        <f>ORÇAMENTO!F4</f>
        <v>44317</v>
      </c>
    </row>
    <row r="5" spans="1:14" ht="28.8" x14ac:dyDescent="0.25">
      <c r="A5" s="202" t="s">
        <v>7</v>
      </c>
      <c r="B5" s="203" t="s">
        <v>157</v>
      </c>
      <c r="C5" s="202" t="s">
        <v>158</v>
      </c>
      <c r="D5" s="202" t="s">
        <v>159</v>
      </c>
      <c r="E5" s="202" t="s">
        <v>160</v>
      </c>
      <c r="F5" s="202" t="s">
        <v>161</v>
      </c>
      <c r="G5" s="259" t="s">
        <v>165</v>
      </c>
      <c r="H5" s="202" t="s">
        <v>162</v>
      </c>
      <c r="I5" s="202" t="s">
        <v>163</v>
      </c>
      <c r="J5" s="202" t="s">
        <v>10</v>
      </c>
    </row>
    <row r="6" spans="1:14" s="211" customFormat="1" ht="14.4" x14ac:dyDescent="0.25">
      <c r="A6" s="207">
        <f>ORÇAMENTO!A7</f>
        <v>1</v>
      </c>
      <c r="B6" s="208" t="str">
        <f>ORÇAMENTO!C7</f>
        <v>SERVIÇOS PRELIMINARES</v>
      </c>
      <c r="C6" s="209"/>
      <c r="D6" s="209"/>
      <c r="E6" s="209"/>
      <c r="F6" s="209"/>
      <c r="G6" s="209"/>
      <c r="H6" s="209"/>
      <c r="I6" s="209"/>
      <c r="J6" s="210"/>
    </row>
    <row r="7" spans="1:14" s="256" customFormat="1" ht="14.4" x14ac:dyDescent="0.25">
      <c r="A7" s="269" t="str">
        <f>ORÇAMENTO!A8</f>
        <v>1.1</v>
      </c>
      <c r="B7" s="270" t="str">
        <f>ORÇAMENTO!C8</f>
        <v>Locação de obra com gabarito de madeira</v>
      </c>
      <c r="C7" s="267"/>
      <c r="D7" s="271"/>
      <c r="E7" s="267"/>
      <c r="F7" s="267"/>
      <c r="G7" s="267"/>
      <c r="H7" s="267">
        <v>156.9</v>
      </c>
      <c r="I7" s="267"/>
      <c r="J7" s="268">
        <f>H7</f>
        <v>156.9</v>
      </c>
    </row>
    <row r="8" spans="1:14" ht="52.8" x14ac:dyDescent="0.25">
      <c r="A8" s="214" t="str">
        <f>ORÇAMENTO!A9</f>
        <v>1.2</v>
      </c>
      <c r="B8" s="219" t="str">
        <f>ORÇAMENTO!C9</f>
        <v>Galpão para corte e armação com área de 6.00m2, de peças de madeira 8x8cm e contraventamento de 5x7cm, cobertura de telhas de fibroc. de 6mm, inclusive ponto e cabo de alimentação da máquina, conf. projeto (2 utilizações)</v>
      </c>
      <c r="C8" s="214"/>
      <c r="D8" s="214">
        <v>1</v>
      </c>
      <c r="E8" s="214"/>
      <c r="F8" s="221"/>
      <c r="G8" s="214"/>
      <c r="H8" s="221"/>
      <c r="I8" s="214"/>
      <c r="J8" s="239">
        <f>D8</f>
        <v>1</v>
      </c>
    </row>
    <row r="9" spans="1:14" ht="17.25" customHeight="1" x14ac:dyDescent="0.25">
      <c r="A9" s="214" t="str">
        <f>ORÇAMENTO!A10</f>
        <v>1.3</v>
      </c>
      <c r="B9" s="249" t="str">
        <f>ORÇAMENTO!C10</f>
        <v>Placa de obra nas dimensões de 2.0 x 4.0 m, padrão IOPES</v>
      </c>
      <c r="C9" s="214"/>
      <c r="D9" s="214">
        <v>1</v>
      </c>
      <c r="E9" s="214">
        <v>2</v>
      </c>
      <c r="F9" s="221">
        <v>4</v>
      </c>
      <c r="G9" s="214"/>
      <c r="H9" s="221">
        <f>E9*F9</f>
        <v>8</v>
      </c>
      <c r="I9" s="214"/>
      <c r="J9" s="240">
        <f>H9</f>
        <v>8</v>
      </c>
    </row>
    <row r="10" spans="1:14" s="212" customFormat="1" x14ac:dyDescent="0.25">
      <c r="A10" s="216">
        <f>ORÇAMENTO!A12</f>
        <v>2</v>
      </c>
      <c r="B10" s="217" t="str">
        <f>ORÇAMENTO!C12</f>
        <v>ESTRUTURAS</v>
      </c>
      <c r="C10" s="220"/>
      <c r="D10" s="220"/>
      <c r="E10" s="220"/>
      <c r="F10" s="237"/>
      <c r="G10" s="220"/>
      <c r="H10" s="237"/>
      <c r="I10" s="220"/>
      <c r="J10" s="220"/>
      <c r="L10" s="345" t="s">
        <v>233</v>
      </c>
      <c r="M10" s="345"/>
      <c r="N10" s="345"/>
    </row>
    <row r="11" spans="1:14" s="337" customFormat="1" x14ac:dyDescent="0.25">
      <c r="A11" s="239" t="str">
        <f>ORÇAMENTO!A13</f>
        <v>2.1</v>
      </c>
      <c r="B11" s="336" t="str">
        <f>ORÇAMENTO!C13</f>
        <v>INFRA-ESTRUTURA / FUNDAÇÃO</v>
      </c>
      <c r="C11" s="239"/>
      <c r="D11" s="239"/>
      <c r="E11" s="239"/>
      <c r="F11" s="239"/>
      <c r="G11" s="240"/>
      <c r="H11" s="240"/>
      <c r="I11" s="240"/>
      <c r="J11" s="240"/>
      <c r="L11" s="346">
        <v>0.8</v>
      </c>
      <c r="M11" s="346">
        <v>0.8</v>
      </c>
      <c r="N11" s="346">
        <f>0.5+1</f>
        <v>1.5</v>
      </c>
    </row>
    <row r="12" spans="1:14" ht="26.4" x14ac:dyDescent="0.25">
      <c r="A12" s="214" t="str">
        <f>ORÇAMENTO!A14</f>
        <v>2.1.1</v>
      </c>
      <c r="B12" s="219" t="str">
        <f>ORÇAMENTO!C14</f>
        <v>Escavação manual em material de 1a. categoria, até 1.50 m de profundidade</v>
      </c>
      <c r="C12" s="214" t="s">
        <v>233</v>
      </c>
      <c r="D12" s="214">
        <v>24</v>
      </c>
      <c r="E12" s="221">
        <v>0.8</v>
      </c>
      <c r="F12" s="221">
        <v>0.8</v>
      </c>
      <c r="G12" s="221">
        <v>1.5</v>
      </c>
      <c r="H12" s="221"/>
      <c r="I12" s="221">
        <f>D12*E12*F12*G12</f>
        <v>23.040000000000006</v>
      </c>
      <c r="J12" s="240"/>
      <c r="L12" s="345" t="s">
        <v>235</v>
      </c>
      <c r="M12" s="345"/>
      <c r="N12" s="345"/>
    </row>
    <row r="13" spans="1:14" x14ac:dyDescent="0.25">
      <c r="A13" s="214"/>
      <c r="B13" s="219"/>
      <c r="C13" s="214" t="s">
        <v>234</v>
      </c>
      <c r="D13" s="221"/>
      <c r="E13" s="221">
        <f>M15</f>
        <v>75.5</v>
      </c>
      <c r="F13" s="221">
        <v>0.15</v>
      </c>
      <c r="G13" s="221">
        <v>0.4</v>
      </c>
      <c r="H13" s="221"/>
      <c r="I13" s="221">
        <f>E13*F13*G13</f>
        <v>4.53</v>
      </c>
      <c r="J13" s="240">
        <f>I12+I13</f>
        <v>27.570000000000007</v>
      </c>
      <c r="L13" s="346">
        <v>0.15</v>
      </c>
      <c r="M13" s="346">
        <v>0.3</v>
      </c>
      <c r="N13" s="346">
        <v>1</v>
      </c>
    </row>
    <row r="14" spans="1:14" x14ac:dyDescent="0.25">
      <c r="A14" s="214"/>
      <c r="B14" s="219"/>
      <c r="C14" s="214"/>
      <c r="D14" s="214"/>
      <c r="E14" s="214"/>
      <c r="F14" s="214"/>
      <c r="G14" s="221"/>
      <c r="H14" s="221"/>
      <c r="I14" s="214"/>
      <c r="J14" s="240"/>
      <c r="L14" s="394" t="s">
        <v>236</v>
      </c>
      <c r="M14" s="394"/>
      <c r="N14" s="394"/>
    </row>
    <row r="15" spans="1:14" x14ac:dyDescent="0.25">
      <c r="A15" s="214" t="str">
        <f>ORÇAMENTO!A15</f>
        <v>2.1.2</v>
      </c>
      <c r="B15" s="219" t="str">
        <f>ORÇAMENTO!C15</f>
        <v>Reaterro apiloado de cavas de fundação, em camadas de 20 cm</v>
      </c>
      <c r="C15" s="214"/>
      <c r="D15" s="214"/>
      <c r="E15" s="214"/>
      <c r="F15" s="221"/>
      <c r="G15" s="214"/>
      <c r="H15" s="221"/>
      <c r="I15" s="221">
        <f>J13-(I39+I40)</f>
        <v>18.810000000000006</v>
      </c>
      <c r="J15" s="240">
        <f>I15</f>
        <v>18.810000000000006</v>
      </c>
      <c r="L15" s="346" t="s">
        <v>237</v>
      </c>
      <c r="M15" s="345">
        <v>75.5</v>
      </c>
      <c r="N15" s="337" t="s">
        <v>261</v>
      </c>
    </row>
    <row r="16" spans="1:14" x14ac:dyDescent="0.25">
      <c r="A16" s="214"/>
      <c r="B16" s="219"/>
      <c r="C16" s="214"/>
      <c r="D16" s="214"/>
      <c r="E16" s="214"/>
      <c r="F16" s="221"/>
      <c r="G16" s="214"/>
      <c r="H16" s="221"/>
      <c r="I16" s="214"/>
      <c r="J16" s="240"/>
      <c r="L16" s="346"/>
      <c r="M16" s="345">
        <v>70</v>
      </c>
      <c r="N16" s="337" t="s">
        <v>262</v>
      </c>
    </row>
    <row r="17" spans="1:10" ht="26.4" x14ac:dyDescent="0.25">
      <c r="A17" s="214" t="str">
        <f>ORÇAMENTO!A16</f>
        <v>2.1.3</v>
      </c>
      <c r="B17" s="219" t="str">
        <f>ORÇAMENTO!C16</f>
        <v>Aterro manual para regularização do terreno em argila, inclusive adensamento manual e fornecimento do material (máximo de 100m3)</v>
      </c>
      <c r="C17" s="214" t="s">
        <v>238</v>
      </c>
      <c r="D17" s="214"/>
      <c r="E17" s="214"/>
      <c r="F17" s="221"/>
      <c r="G17" s="221">
        <v>0.4</v>
      </c>
      <c r="H17" s="221">
        <v>6.89</v>
      </c>
      <c r="I17" s="221">
        <f>G17*H17</f>
        <v>2.7560000000000002</v>
      </c>
      <c r="J17" s="240"/>
    </row>
    <row r="18" spans="1:10" x14ac:dyDescent="0.25">
      <c r="A18" s="214"/>
      <c r="B18" s="219"/>
      <c r="C18" s="214" t="s">
        <v>239</v>
      </c>
      <c r="D18" s="214"/>
      <c r="E18" s="214"/>
      <c r="F18" s="221"/>
      <c r="G18" s="221">
        <v>0.4</v>
      </c>
      <c r="H18" s="221">
        <v>8.64</v>
      </c>
      <c r="I18" s="221">
        <f t="shared" ref="I18:I26" si="0">G18*H18</f>
        <v>3.4560000000000004</v>
      </c>
      <c r="J18" s="240"/>
    </row>
    <row r="19" spans="1:10" x14ac:dyDescent="0.25">
      <c r="A19" s="214"/>
      <c r="B19" s="219"/>
      <c r="C19" s="214" t="s">
        <v>240</v>
      </c>
      <c r="D19" s="214"/>
      <c r="E19" s="214"/>
      <c r="F19" s="221"/>
      <c r="G19" s="221">
        <v>0.4</v>
      </c>
      <c r="H19" s="221">
        <v>6.46</v>
      </c>
      <c r="I19" s="221">
        <f t="shared" si="0"/>
        <v>2.5840000000000001</v>
      </c>
      <c r="J19" s="240"/>
    </row>
    <row r="20" spans="1:10" x14ac:dyDescent="0.25">
      <c r="A20" s="214"/>
      <c r="B20" s="219"/>
      <c r="C20" s="214" t="s">
        <v>241</v>
      </c>
      <c r="D20" s="214"/>
      <c r="E20" s="214"/>
      <c r="F20" s="221"/>
      <c r="G20" s="221">
        <v>0.4</v>
      </c>
      <c r="H20" s="221">
        <v>3.71</v>
      </c>
      <c r="I20" s="221">
        <f t="shared" si="0"/>
        <v>1.484</v>
      </c>
      <c r="J20" s="240"/>
    </row>
    <row r="21" spans="1:10" x14ac:dyDescent="0.25">
      <c r="A21" s="214"/>
      <c r="B21" s="219"/>
      <c r="C21" s="214" t="s">
        <v>242</v>
      </c>
      <c r="D21" s="214"/>
      <c r="E21" s="214"/>
      <c r="F21" s="221"/>
      <c r="G21" s="221">
        <v>0.4</v>
      </c>
      <c r="H21" s="221">
        <v>4.24</v>
      </c>
      <c r="I21" s="221">
        <f t="shared" si="0"/>
        <v>1.6960000000000002</v>
      </c>
      <c r="J21" s="240"/>
    </row>
    <row r="22" spans="1:10" x14ac:dyDescent="0.25">
      <c r="A22" s="214"/>
      <c r="B22" s="219"/>
      <c r="C22" s="214" t="s">
        <v>243</v>
      </c>
      <c r="D22" s="214"/>
      <c r="E22" s="214"/>
      <c r="F22" s="221"/>
      <c r="G22" s="221">
        <v>0.4</v>
      </c>
      <c r="H22" s="221">
        <v>3.6</v>
      </c>
      <c r="I22" s="221">
        <f t="shared" si="0"/>
        <v>1.4400000000000002</v>
      </c>
      <c r="J22" s="240"/>
    </row>
    <row r="23" spans="1:10" x14ac:dyDescent="0.25">
      <c r="A23" s="214"/>
      <c r="B23" s="219"/>
      <c r="C23" s="214" t="s">
        <v>244</v>
      </c>
      <c r="D23" s="214"/>
      <c r="E23" s="214"/>
      <c r="F23" s="221"/>
      <c r="G23" s="221">
        <v>0.4</v>
      </c>
      <c r="H23" s="221">
        <v>10.31</v>
      </c>
      <c r="I23" s="221">
        <f t="shared" si="0"/>
        <v>4.1240000000000006</v>
      </c>
      <c r="J23" s="240"/>
    </row>
    <row r="24" spans="1:10" x14ac:dyDescent="0.25">
      <c r="A24" s="214"/>
      <c r="B24" s="219"/>
      <c r="C24" s="214" t="s">
        <v>245</v>
      </c>
      <c r="D24" s="214"/>
      <c r="E24" s="214"/>
      <c r="F24" s="221"/>
      <c r="G24" s="221">
        <v>0.4</v>
      </c>
      <c r="H24" s="221">
        <v>6.89</v>
      </c>
      <c r="I24" s="221">
        <f t="shared" si="0"/>
        <v>2.7560000000000002</v>
      </c>
      <c r="J24" s="240"/>
    </row>
    <row r="25" spans="1:10" x14ac:dyDescent="0.25">
      <c r="A25" s="214"/>
      <c r="B25" s="219"/>
      <c r="C25" s="214" t="s">
        <v>246</v>
      </c>
      <c r="D25" s="214"/>
      <c r="E25" s="214"/>
      <c r="F25" s="221"/>
      <c r="G25" s="221">
        <v>0.4</v>
      </c>
      <c r="H25" s="221">
        <v>6.89</v>
      </c>
      <c r="I25" s="221">
        <f t="shared" si="0"/>
        <v>2.7560000000000002</v>
      </c>
      <c r="J25" s="240"/>
    </row>
    <row r="26" spans="1:10" x14ac:dyDescent="0.25">
      <c r="A26" s="214"/>
      <c r="B26" s="219"/>
      <c r="C26" s="214" t="s">
        <v>247</v>
      </c>
      <c r="D26" s="214"/>
      <c r="E26" s="214"/>
      <c r="F26" s="221"/>
      <c r="G26" s="221">
        <v>0.4</v>
      </c>
      <c r="H26" s="221">
        <v>14.99</v>
      </c>
      <c r="I26" s="221">
        <f t="shared" si="0"/>
        <v>5.9960000000000004</v>
      </c>
      <c r="J26" s="240">
        <f>SUM(I17:I26)</f>
        <v>29.048000000000002</v>
      </c>
    </row>
    <row r="27" spans="1:10" x14ac:dyDescent="0.25">
      <c r="A27" s="214"/>
      <c r="B27" s="219"/>
      <c r="C27" s="214"/>
      <c r="D27" s="214"/>
      <c r="E27" s="214"/>
      <c r="F27" s="221"/>
      <c r="G27" s="214"/>
      <c r="H27" s="221"/>
      <c r="I27" s="214"/>
      <c r="J27" s="240"/>
    </row>
    <row r="28" spans="1:10" ht="39.6" x14ac:dyDescent="0.25">
      <c r="A28" s="214" t="str">
        <f>ORÇAMENTO!A17</f>
        <v>2.1.4</v>
      </c>
      <c r="B28" s="219" t="str">
        <f>ORÇAMENTO!C17</f>
        <v>Fôrma de tábua de madeira de 2.5 x 30.0 cm para fundações, levando-se em conta a utilização 5 vezes (incluido o material, corte, montagem, escoramento e desforma)</v>
      </c>
      <c r="C28" s="214" t="s">
        <v>248</v>
      </c>
      <c r="D28" s="214">
        <f>D12</f>
        <v>24</v>
      </c>
      <c r="E28" s="221">
        <f>L13</f>
        <v>0.15</v>
      </c>
      <c r="F28" s="221">
        <f>M13</f>
        <v>0.3</v>
      </c>
      <c r="G28" s="221">
        <f>N13</f>
        <v>1</v>
      </c>
      <c r="H28" s="221">
        <f>(E28+F28)*2*G28*D28</f>
        <v>21.599999999999998</v>
      </c>
      <c r="I28" s="221"/>
      <c r="J28" s="240"/>
    </row>
    <row r="29" spans="1:10" x14ac:dyDescent="0.25">
      <c r="A29" s="214"/>
      <c r="B29" s="219"/>
      <c r="C29" s="214" t="s">
        <v>234</v>
      </c>
      <c r="D29" s="214"/>
      <c r="E29" s="221">
        <f>E13</f>
        <v>75.5</v>
      </c>
      <c r="F29" s="221">
        <f>F13</f>
        <v>0.15</v>
      </c>
      <c r="G29" s="221">
        <f>G13</f>
        <v>0.4</v>
      </c>
      <c r="H29" s="201">
        <f>E29*G29*2</f>
        <v>60.400000000000006</v>
      </c>
      <c r="I29" s="221"/>
      <c r="J29" s="240">
        <f>H28+H29</f>
        <v>82</v>
      </c>
    </row>
    <row r="30" spans="1:10" x14ac:dyDescent="0.25">
      <c r="A30" s="214"/>
      <c r="B30" s="219"/>
      <c r="C30" s="214"/>
      <c r="D30" s="214"/>
      <c r="E30" s="214"/>
      <c r="F30" s="214"/>
      <c r="G30" s="221"/>
      <c r="H30" s="221"/>
      <c r="I30" s="221"/>
      <c r="J30" s="240"/>
    </row>
    <row r="31" spans="1:10" ht="26.4" x14ac:dyDescent="0.25">
      <c r="A31" s="214" t="str">
        <f>ORÇAMENTO!A18</f>
        <v>2.1.5</v>
      </c>
      <c r="B31" s="219" t="str">
        <f>ORÇAMENTO!C18</f>
        <v>Fornecimento, dobragem e colocação em fôrma, de armadura CA-60 B fina, diâmetro de 4.0 a 7.0mm</v>
      </c>
      <c r="C31" s="214" t="s">
        <v>21</v>
      </c>
      <c r="D31" s="214"/>
      <c r="E31" s="214"/>
      <c r="F31" s="221"/>
      <c r="G31" s="214">
        <v>33.159999999999997</v>
      </c>
      <c r="H31" s="221"/>
      <c r="I31" s="214"/>
      <c r="J31" s="214"/>
    </row>
    <row r="32" spans="1:10" x14ac:dyDescent="0.25">
      <c r="A32" s="214"/>
      <c r="B32" s="219"/>
      <c r="C32" s="214" t="s">
        <v>234</v>
      </c>
      <c r="D32" s="214"/>
      <c r="E32" s="214"/>
      <c r="F32" s="221"/>
      <c r="G32" s="214">
        <v>102.3</v>
      </c>
      <c r="H32" s="221"/>
      <c r="I32" s="214"/>
      <c r="J32" s="239">
        <f>SUM(G31:G32)</f>
        <v>135.45999999999998</v>
      </c>
    </row>
    <row r="33" spans="1:10" x14ac:dyDescent="0.25">
      <c r="A33" s="214"/>
      <c r="B33" s="219"/>
      <c r="C33" s="214"/>
      <c r="D33" s="214"/>
      <c r="E33" s="214"/>
      <c r="F33" s="221"/>
      <c r="G33" s="214"/>
      <c r="H33" s="221"/>
      <c r="I33" s="214"/>
      <c r="J33" s="214"/>
    </row>
    <row r="34" spans="1:10" ht="26.4" x14ac:dyDescent="0.25">
      <c r="A34" s="214" t="str">
        <f>ORÇAMENTO!A19</f>
        <v>2.1.6</v>
      </c>
      <c r="B34" s="219" t="str">
        <f>ORÇAMENTO!C19</f>
        <v>Fornecimento, dobragem e colocação em fôrma, de armadura CA-50 A média, diâmetro de 6.3 a 10.0 mm</v>
      </c>
      <c r="C34" s="214" t="s">
        <v>21</v>
      </c>
      <c r="D34" s="214"/>
      <c r="E34" s="214"/>
      <c r="F34" s="221"/>
      <c r="G34" s="214">
        <v>425.54</v>
      </c>
      <c r="H34" s="221"/>
      <c r="I34" s="214"/>
      <c r="J34" s="214"/>
    </row>
    <row r="35" spans="1:10" x14ac:dyDescent="0.25">
      <c r="A35" s="214"/>
      <c r="B35" s="219"/>
      <c r="C35" s="214" t="s">
        <v>234</v>
      </c>
      <c r="D35" s="214"/>
      <c r="E35" s="214"/>
      <c r="F35" s="221"/>
      <c r="G35" s="214">
        <v>561.5</v>
      </c>
      <c r="H35" s="221"/>
      <c r="I35" s="214"/>
      <c r="J35" s="239">
        <f>SUM(G34:G35)</f>
        <v>987.04</v>
      </c>
    </row>
    <row r="36" spans="1:10" x14ac:dyDescent="0.25">
      <c r="A36" s="214"/>
      <c r="B36" s="219"/>
      <c r="C36" s="214"/>
      <c r="D36" s="214"/>
      <c r="E36" s="214"/>
      <c r="F36" s="221"/>
      <c r="G36" s="214"/>
      <c r="H36" s="221"/>
      <c r="I36" s="214"/>
      <c r="J36" s="214"/>
    </row>
    <row r="37" spans="1:10" ht="39.6" x14ac:dyDescent="0.25">
      <c r="A37" s="214" t="str">
        <f>ORÇAMENTO!A20</f>
        <v>2.1.7</v>
      </c>
      <c r="B37" s="219" t="str">
        <f>ORÇAMENTO!C20</f>
        <v>Fornecimento, preparo e aplicação de concreto magro com consumo mínimo de cimento de 250 kg/m3 (brita 1 e 2) - (5% de perdas já incluído no custo)</v>
      </c>
      <c r="C37" s="214" t="s">
        <v>233</v>
      </c>
      <c r="D37" s="214">
        <f>D28</f>
        <v>24</v>
      </c>
      <c r="E37" s="221">
        <f>E12</f>
        <v>0.8</v>
      </c>
      <c r="F37" s="221">
        <f>F12</f>
        <v>0.8</v>
      </c>
      <c r="G37" s="221">
        <v>0.5</v>
      </c>
      <c r="H37" s="221"/>
      <c r="I37" s="214">
        <f>(E37*F37*G37)*D37</f>
        <v>7.6800000000000015</v>
      </c>
      <c r="J37" s="239">
        <f>I37</f>
        <v>7.6800000000000015</v>
      </c>
    </row>
    <row r="38" spans="1:10" x14ac:dyDescent="0.25">
      <c r="A38" s="214"/>
      <c r="B38" s="219"/>
      <c r="C38" s="214"/>
      <c r="D38" s="214"/>
      <c r="E38" s="214"/>
      <c r="F38" s="221"/>
      <c r="G38" s="214"/>
      <c r="H38" s="221"/>
      <c r="I38" s="214"/>
      <c r="J38" s="214"/>
    </row>
    <row r="39" spans="1:10" ht="26.4" x14ac:dyDescent="0.25">
      <c r="A39" s="214" t="str">
        <f>ORÇAMENTO!A21</f>
        <v>2.1.8</v>
      </c>
      <c r="B39" s="219" t="str">
        <f>ORÇAMENTO!C21</f>
        <v>Fornecimento, preparo e aplicação de concreto Fck=20 MPa (brita 1 e 2) - (5% de perdas já incluído no custo)</v>
      </c>
      <c r="C39" s="214" t="s">
        <v>249</v>
      </c>
      <c r="D39" s="214">
        <f>D37</f>
        <v>24</v>
      </c>
      <c r="E39" s="221">
        <f>E37</f>
        <v>0.8</v>
      </c>
      <c r="F39" s="221">
        <f>F37</f>
        <v>0.8</v>
      </c>
      <c r="G39" s="221">
        <v>0.5</v>
      </c>
      <c r="H39" s="221"/>
      <c r="I39" s="221">
        <f>(E39*F39*G39)*D39</f>
        <v>7.6800000000000015</v>
      </c>
      <c r="J39" s="214"/>
    </row>
    <row r="40" spans="1:10" x14ac:dyDescent="0.25">
      <c r="A40" s="214"/>
      <c r="B40" s="219"/>
      <c r="C40" s="214" t="s">
        <v>248</v>
      </c>
      <c r="D40" s="214">
        <f>D37</f>
        <v>24</v>
      </c>
      <c r="E40" s="221">
        <f>E28</f>
        <v>0.15</v>
      </c>
      <c r="F40" s="221">
        <f>F28</f>
        <v>0.3</v>
      </c>
      <c r="G40" s="221">
        <f>G28</f>
        <v>1</v>
      </c>
      <c r="H40" s="221"/>
      <c r="I40" s="221">
        <f>(E40*F40*G40)*D40</f>
        <v>1.08</v>
      </c>
      <c r="J40" s="240">
        <f>I39+I40</f>
        <v>8.7600000000000016</v>
      </c>
    </row>
    <row r="41" spans="1:10" x14ac:dyDescent="0.25">
      <c r="A41" s="214"/>
      <c r="B41" s="219"/>
      <c r="C41" s="214"/>
      <c r="D41" s="214"/>
      <c r="E41" s="214"/>
      <c r="F41" s="221"/>
      <c r="G41" s="214"/>
      <c r="H41" s="221"/>
      <c r="I41" s="214"/>
      <c r="J41" s="214"/>
    </row>
    <row r="42" spans="1:10" ht="26.4" x14ac:dyDescent="0.25">
      <c r="A42" s="214" t="str">
        <f>ORÇAMENTO!A22</f>
        <v>2.1.9</v>
      </c>
      <c r="B42" s="219" t="str">
        <f>ORÇAMENTO!C22</f>
        <v>Fornecimento, preparo e aplicação de concreto Fck=15 MPa (brita 1 e 2) - (5% de perdas já incluído no custo)</v>
      </c>
      <c r="C42" s="214" t="s">
        <v>234</v>
      </c>
      <c r="D42" s="214"/>
      <c r="E42" s="221">
        <f>E29</f>
        <v>75.5</v>
      </c>
      <c r="F42" s="221">
        <f>F29</f>
        <v>0.15</v>
      </c>
      <c r="G42" s="221">
        <v>0.4</v>
      </c>
      <c r="H42" s="221"/>
      <c r="I42" s="221">
        <f>E42*F42*G42</f>
        <v>4.53</v>
      </c>
      <c r="J42" s="240">
        <f>I42</f>
        <v>4.53</v>
      </c>
    </row>
    <row r="43" spans="1:10" x14ac:dyDescent="0.25">
      <c r="A43" s="214"/>
      <c r="B43" s="219"/>
      <c r="C43" s="214"/>
      <c r="D43" s="214"/>
      <c r="E43" s="214"/>
      <c r="F43" s="221"/>
      <c r="G43" s="214"/>
      <c r="H43" s="221"/>
      <c r="I43" s="214"/>
      <c r="J43" s="214"/>
    </row>
    <row r="44" spans="1:10" ht="39.6" x14ac:dyDescent="0.25">
      <c r="A44" s="214" t="str">
        <f>ORÇAMENTO!A23</f>
        <v>2.1.10</v>
      </c>
      <c r="B44" s="219" t="str">
        <f>ORÇAMENTO!C23</f>
        <v>IMPERMEABILIZAÇÃO DE FLOREIRA OU VIGA BALDRAME COM ARGAMASSA DE CIMENTO E AREIA, COM ADITIVO IMPERMEABILIZANTE, E = 2 CM. AF_06/2018</v>
      </c>
      <c r="C44" s="214" t="s">
        <v>234</v>
      </c>
      <c r="D44" s="214"/>
      <c r="E44" s="221">
        <f>E29</f>
        <v>75.5</v>
      </c>
      <c r="F44" s="221">
        <f>F42</f>
        <v>0.15</v>
      </c>
      <c r="G44" s="221">
        <f>G42</f>
        <v>0.4</v>
      </c>
      <c r="H44" s="221">
        <f>E44*G44*2</f>
        <v>60.400000000000006</v>
      </c>
      <c r="I44" s="214"/>
      <c r="J44" s="240">
        <f>H44</f>
        <v>60.400000000000006</v>
      </c>
    </row>
    <row r="45" spans="1:10" x14ac:dyDescent="0.25">
      <c r="A45" s="214"/>
      <c r="B45" s="219"/>
      <c r="C45" s="214"/>
      <c r="D45" s="214"/>
      <c r="E45" s="214"/>
      <c r="F45" s="221"/>
      <c r="G45" s="214"/>
      <c r="H45" s="221"/>
      <c r="I45" s="214"/>
      <c r="J45" s="214"/>
    </row>
    <row r="46" spans="1:10" s="337" customFormat="1" x14ac:dyDescent="0.25">
      <c r="A46" s="239" t="str">
        <f>ORÇAMENTO!A24</f>
        <v>2.2</v>
      </c>
      <c r="B46" s="338" t="str">
        <f>ORÇAMENTO!C24</f>
        <v>SUPER-ESTRUTURA</v>
      </c>
      <c r="C46" s="239"/>
      <c r="D46" s="239"/>
      <c r="E46" s="239"/>
      <c r="F46" s="240"/>
      <c r="G46" s="239"/>
      <c r="H46" s="240"/>
      <c r="I46" s="239"/>
      <c r="J46" s="239"/>
    </row>
    <row r="47" spans="1:10" ht="52.8" x14ac:dyDescent="0.25">
      <c r="A47" s="214" t="str">
        <f>ORÇAMENTO!A25</f>
        <v>2.2.1</v>
      </c>
      <c r="B47" s="219" t="str">
        <f>ORÇAMENTO!C25</f>
        <v>Fôrma em chapa de madeira compensada plastificada 12mm para estrutura em geral, 5 reaproveitamentos, reforçada com sarrafos de madeira 2.5x10cm (incl material, corte, montagem, escoras em eucalipto e desforma)</v>
      </c>
      <c r="C47" s="241" t="s">
        <v>263</v>
      </c>
      <c r="D47" s="214">
        <f>D40</f>
        <v>24</v>
      </c>
      <c r="E47" s="221">
        <f>E40</f>
        <v>0.15</v>
      </c>
      <c r="F47" s="221">
        <f>F40</f>
        <v>0.3</v>
      </c>
      <c r="G47" s="221">
        <v>2.9</v>
      </c>
      <c r="H47" s="348">
        <f>(E47+F47)*2*G47*D47</f>
        <v>62.64</v>
      </c>
      <c r="I47" s="214"/>
      <c r="J47" s="214"/>
    </row>
    <row r="48" spans="1:10" x14ac:dyDescent="0.25">
      <c r="A48" s="214"/>
      <c r="B48" s="219"/>
      <c r="C48" s="214" t="s">
        <v>264</v>
      </c>
      <c r="D48" s="214"/>
      <c r="E48" s="221">
        <f>E44</f>
        <v>75.5</v>
      </c>
      <c r="F48" s="221">
        <f>F42</f>
        <v>0.15</v>
      </c>
      <c r="G48" s="221">
        <v>0.4</v>
      </c>
      <c r="H48" s="201">
        <f>(F48+(2*G48))*E48</f>
        <v>71.725000000000009</v>
      </c>
      <c r="I48" s="214"/>
      <c r="J48" s="240"/>
    </row>
    <row r="49" spans="1:10" x14ac:dyDescent="0.25">
      <c r="A49" s="214"/>
      <c r="B49" s="219"/>
      <c r="C49" s="214" t="s">
        <v>250</v>
      </c>
      <c r="D49" s="214">
        <v>10</v>
      </c>
      <c r="E49" s="221">
        <f>E47</f>
        <v>0.15</v>
      </c>
      <c r="F49" s="221">
        <f>F47</f>
        <v>0.3</v>
      </c>
      <c r="G49" s="221">
        <f>G47</f>
        <v>2.9</v>
      </c>
      <c r="H49" s="348">
        <f>(E49+F49)*2*G49*D49</f>
        <v>26.099999999999998</v>
      </c>
      <c r="I49" s="214"/>
      <c r="J49" s="240"/>
    </row>
    <row r="50" spans="1:10" x14ac:dyDescent="0.25">
      <c r="A50" s="214"/>
      <c r="B50" s="219"/>
      <c r="C50" s="214" t="s">
        <v>251</v>
      </c>
      <c r="D50" s="214"/>
      <c r="E50" s="221">
        <f>M16</f>
        <v>70</v>
      </c>
      <c r="F50" s="221">
        <v>0.15</v>
      </c>
      <c r="G50" s="221">
        <v>0.4</v>
      </c>
      <c r="H50" s="201">
        <f>(F50+(2*G50))*E50</f>
        <v>66.5</v>
      </c>
      <c r="I50" s="214"/>
      <c r="J50" s="240">
        <f>SUM(H47:H50)</f>
        <v>226.965</v>
      </c>
    </row>
    <row r="51" spans="1:10" x14ac:dyDescent="0.25">
      <c r="A51" s="214"/>
      <c r="B51" s="219"/>
      <c r="C51" s="214"/>
      <c r="D51" s="214"/>
      <c r="E51" s="214"/>
      <c r="F51" s="221"/>
      <c r="G51" s="214"/>
      <c r="H51" s="221"/>
      <c r="I51" s="214"/>
      <c r="J51" s="214"/>
    </row>
    <row r="52" spans="1:10" ht="26.4" x14ac:dyDescent="0.25">
      <c r="A52" s="214" t="str">
        <f>ORÇAMENTO!A26</f>
        <v>2.2.2</v>
      </c>
      <c r="B52" s="219" t="str">
        <f>ORÇAMENTO!C26</f>
        <v>Fornecimento, preparo e aplicação de concreto Fck=20 MPa (brita 1 e 2) - (5% de perdas já incluído no custo)</v>
      </c>
      <c r="C52" s="241" t="s">
        <v>263</v>
      </c>
      <c r="D52" s="214">
        <f>D47</f>
        <v>24</v>
      </c>
      <c r="E52" s="221">
        <f>E47</f>
        <v>0.15</v>
      </c>
      <c r="F52" s="221">
        <f>F47</f>
        <v>0.3</v>
      </c>
      <c r="G52" s="221">
        <f>G47</f>
        <v>2.9</v>
      </c>
      <c r="H52" s="221"/>
      <c r="I52" s="214">
        <f>D52*E52*F52*G52</f>
        <v>3.1319999999999997</v>
      </c>
      <c r="J52" s="214"/>
    </row>
    <row r="53" spans="1:10" x14ac:dyDescent="0.25">
      <c r="A53" s="214"/>
      <c r="B53" s="219"/>
      <c r="C53" s="214" t="s">
        <v>264</v>
      </c>
      <c r="D53" s="214"/>
      <c r="E53" s="221">
        <f>E48</f>
        <v>75.5</v>
      </c>
      <c r="F53" s="221">
        <f>F48</f>
        <v>0.15</v>
      </c>
      <c r="G53" s="221">
        <v>0.4</v>
      </c>
      <c r="H53" s="221"/>
      <c r="I53" s="221">
        <f>E53*F53*G53</f>
        <v>4.53</v>
      </c>
      <c r="J53" s="240"/>
    </row>
    <row r="54" spans="1:10" x14ac:dyDescent="0.25">
      <c r="A54" s="214"/>
      <c r="B54" s="219"/>
      <c r="C54" s="214" t="s">
        <v>250</v>
      </c>
      <c r="D54" s="214">
        <v>10</v>
      </c>
      <c r="E54" s="221">
        <f>E52</f>
        <v>0.15</v>
      </c>
      <c r="F54" s="221">
        <f>F52</f>
        <v>0.3</v>
      </c>
      <c r="G54" s="221">
        <f>G52</f>
        <v>2.9</v>
      </c>
      <c r="H54" s="221"/>
      <c r="I54" s="214">
        <f>D54*E54*F54*G54</f>
        <v>1.3049999999999999</v>
      </c>
      <c r="J54" s="240"/>
    </row>
    <row r="55" spans="1:10" x14ac:dyDescent="0.25">
      <c r="A55" s="214"/>
      <c r="B55" s="219"/>
      <c r="C55" s="214" t="s">
        <v>251</v>
      </c>
      <c r="D55" s="214"/>
      <c r="E55" s="221">
        <f>E50</f>
        <v>70</v>
      </c>
      <c r="F55" s="221">
        <f>F53</f>
        <v>0.15</v>
      </c>
      <c r="G55" s="221">
        <f>G53</f>
        <v>0.4</v>
      </c>
      <c r="H55" s="221"/>
      <c r="I55" s="221">
        <f>E55*F55*G55</f>
        <v>4.2</v>
      </c>
      <c r="J55" s="240">
        <f>SUM(I52:I55)</f>
        <v>13.167000000000002</v>
      </c>
    </row>
    <row r="56" spans="1:10" x14ac:dyDescent="0.25">
      <c r="A56" s="214"/>
      <c r="B56" s="219"/>
      <c r="C56" s="214"/>
      <c r="D56" s="214"/>
      <c r="E56" s="214"/>
      <c r="F56" s="221"/>
      <c r="G56" s="214"/>
      <c r="H56" s="221"/>
      <c r="I56" s="214"/>
      <c r="J56" s="214"/>
    </row>
    <row r="57" spans="1:10" ht="26.4" x14ac:dyDescent="0.25">
      <c r="A57" s="214" t="str">
        <f>ORÇAMENTO!A27</f>
        <v>2.2.3</v>
      </c>
      <c r="B57" s="219" t="str">
        <f>ORÇAMENTO!C27</f>
        <v>Fornecimento, dobragem e colocação em fôrma, de armadura CA-50 A média, diâmetro de 6.3 a 10.0 mm</v>
      </c>
      <c r="C57" s="214" t="s">
        <v>318</v>
      </c>
      <c r="D57" s="214"/>
      <c r="E57" s="214"/>
      <c r="F57" s="221"/>
      <c r="G57" s="214">
        <v>1252</v>
      </c>
      <c r="H57" s="221"/>
      <c r="I57" s="214"/>
      <c r="J57" s="214"/>
    </row>
    <row r="58" spans="1:10" x14ac:dyDescent="0.25">
      <c r="A58" s="214"/>
      <c r="B58" s="219"/>
      <c r="C58" s="214" t="s">
        <v>264</v>
      </c>
      <c r="D58" s="214"/>
      <c r="E58" s="214"/>
      <c r="F58" s="221"/>
      <c r="G58" s="214">
        <v>577.5</v>
      </c>
      <c r="H58" s="221"/>
      <c r="I58" s="214"/>
      <c r="J58" s="214"/>
    </row>
    <row r="59" spans="1:10" x14ac:dyDescent="0.25">
      <c r="A59" s="214"/>
      <c r="B59" s="219"/>
      <c r="C59" s="214" t="s">
        <v>251</v>
      </c>
      <c r="D59" s="214"/>
      <c r="E59" s="214"/>
      <c r="F59" s="221"/>
      <c r="G59" s="214">
        <v>385</v>
      </c>
      <c r="H59" s="221"/>
      <c r="I59" s="214"/>
      <c r="J59" s="214"/>
    </row>
    <row r="60" spans="1:10" x14ac:dyDescent="0.25">
      <c r="A60" s="214"/>
      <c r="B60" s="219"/>
      <c r="C60" s="214"/>
      <c r="D60" s="214"/>
      <c r="E60" s="214"/>
      <c r="F60" s="221"/>
      <c r="G60" s="214"/>
      <c r="H60" s="221"/>
      <c r="I60" s="214"/>
      <c r="J60" s="239">
        <f>SUM(G57:G60)</f>
        <v>2214.5</v>
      </c>
    </row>
    <row r="61" spans="1:10" x14ac:dyDescent="0.25">
      <c r="A61" s="214"/>
      <c r="B61" s="219"/>
      <c r="C61" s="214"/>
      <c r="D61" s="214"/>
      <c r="E61" s="214"/>
      <c r="F61" s="221"/>
      <c r="G61" s="214"/>
      <c r="H61" s="221"/>
      <c r="I61" s="214"/>
      <c r="J61" s="214"/>
    </row>
    <row r="62" spans="1:10" ht="26.4" x14ac:dyDescent="0.25">
      <c r="A62" s="214" t="str">
        <f>ORÇAMENTO!A28</f>
        <v>2.2.4</v>
      </c>
      <c r="B62" s="219" t="str">
        <f>ORÇAMENTO!C28</f>
        <v>Fornecimento, dobragem e colocação em fôrma, de armadura CA-60 B fina, diâmetro de 4.0 a 7.0mm</v>
      </c>
      <c r="C62" s="214" t="s">
        <v>318</v>
      </c>
      <c r="D62" s="214"/>
      <c r="E62" s="214"/>
      <c r="F62" s="221"/>
      <c r="G62" s="214">
        <v>165.8</v>
      </c>
      <c r="H62" s="221"/>
      <c r="I62" s="214"/>
      <c r="J62" s="214"/>
    </row>
    <row r="63" spans="1:10" x14ac:dyDescent="0.25">
      <c r="A63" s="214"/>
      <c r="B63" s="219"/>
      <c r="C63" s="214" t="s">
        <v>264</v>
      </c>
      <c r="D63" s="214"/>
      <c r="E63" s="214"/>
      <c r="F63" s="221"/>
      <c r="G63" s="214">
        <v>104.5</v>
      </c>
      <c r="H63" s="221"/>
      <c r="I63" s="214"/>
      <c r="J63" s="214"/>
    </row>
    <row r="64" spans="1:10" x14ac:dyDescent="0.25">
      <c r="A64" s="214"/>
      <c r="B64" s="219"/>
      <c r="C64" s="214" t="s">
        <v>251</v>
      </c>
      <c r="D64" s="214"/>
      <c r="E64" s="214"/>
      <c r="F64" s="221"/>
      <c r="G64" s="214">
        <v>104.5</v>
      </c>
      <c r="H64" s="221"/>
      <c r="I64" s="214"/>
      <c r="J64" s="214"/>
    </row>
    <row r="65" spans="1:10" x14ac:dyDescent="0.25">
      <c r="A65" s="214"/>
      <c r="B65" s="219"/>
      <c r="C65" s="214" t="s">
        <v>317</v>
      </c>
      <c r="D65" s="214"/>
      <c r="E65" s="214"/>
      <c r="F65" s="221"/>
      <c r="G65" s="214">
        <v>558.4</v>
      </c>
      <c r="H65" s="221"/>
      <c r="I65" s="214"/>
      <c r="J65" s="239">
        <f>SUM(G62:G65)</f>
        <v>933.2</v>
      </c>
    </row>
    <row r="66" spans="1:10" x14ac:dyDescent="0.25">
      <c r="A66" s="214"/>
      <c r="B66" s="219"/>
      <c r="C66" s="214"/>
      <c r="D66" s="214"/>
      <c r="E66" s="214"/>
      <c r="F66" s="221"/>
      <c r="G66" s="214"/>
      <c r="H66" s="221"/>
      <c r="I66" s="214"/>
      <c r="J66" s="214"/>
    </row>
    <row r="67" spans="1:10" ht="26.4" x14ac:dyDescent="0.25">
      <c r="A67" s="214" t="str">
        <f>ORÇAMENTO!A29</f>
        <v>2.2.5</v>
      </c>
      <c r="B67" s="219" t="str">
        <f>ORÇAMENTO!C29</f>
        <v>Laje pré-fabricada treliçada para forro simples revestido, vão até 3.5m, capeamento 2cm, esp. 10cm, Fck = 150Kg/cm2</v>
      </c>
      <c r="C67" s="214" t="s">
        <v>238</v>
      </c>
      <c r="D67" s="214"/>
      <c r="E67" s="214"/>
      <c r="F67" s="221"/>
      <c r="G67" s="214"/>
      <c r="H67" s="221">
        <v>6.89</v>
      </c>
      <c r="I67" s="214"/>
      <c r="J67" s="214"/>
    </row>
    <row r="68" spans="1:10" x14ac:dyDescent="0.25">
      <c r="A68" s="214"/>
      <c r="B68" s="219"/>
      <c r="C68" s="214" t="s">
        <v>239</v>
      </c>
      <c r="D68" s="214"/>
      <c r="E68" s="214"/>
      <c r="F68" s="221"/>
      <c r="G68" s="214"/>
      <c r="H68" s="221">
        <v>8.64</v>
      </c>
      <c r="I68" s="214"/>
      <c r="J68" s="214"/>
    </row>
    <row r="69" spans="1:10" x14ac:dyDescent="0.25">
      <c r="A69" s="214"/>
      <c r="B69" s="219"/>
      <c r="C69" s="214" t="s">
        <v>240</v>
      </c>
      <c r="D69" s="214"/>
      <c r="E69" s="214"/>
      <c r="F69" s="221"/>
      <c r="G69" s="214"/>
      <c r="H69" s="221">
        <v>6.46</v>
      </c>
      <c r="I69" s="214"/>
      <c r="J69" s="214"/>
    </row>
    <row r="70" spans="1:10" x14ac:dyDescent="0.25">
      <c r="A70" s="214"/>
      <c r="B70" s="219"/>
      <c r="C70" s="214" t="s">
        <v>241</v>
      </c>
      <c r="D70" s="214"/>
      <c r="E70" s="214"/>
      <c r="F70" s="221"/>
      <c r="G70" s="214"/>
      <c r="H70" s="221">
        <v>3.71</v>
      </c>
      <c r="I70" s="214"/>
      <c r="J70" s="214"/>
    </row>
    <row r="71" spans="1:10" x14ac:dyDescent="0.25">
      <c r="A71" s="214"/>
      <c r="B71" s="219"/>
      <c r="C71" s="214" t="s">
        <v>242</v>
      </c>
      <c r="D71" s="214"/>
      <c r="E71" s="214"/>
      <c r="F71" s="221"/>
      <c r="G71" s="214"/>
      <c r="H71" s="221">
        <v>4.24</v>
      </c>
      <c r="I71" s="214"/>
      <c r="J71" s="214"/>
    </row>
    <row r="72" spans="1:10" x14ac:dyDescent="0.25">
      <c r="A72" s="214"/>
      <c r="B72" s="219"/>
      <c r="C72" s="214" t="s">
        <v>243</v>
      </c>
      <c r="D72" s="214"/>
      <c r="E72" s="214"/>
      <c r="F72" s="221"/>
      <c r="G72" s="214"/>
      <c r="H72" s="221">
        <v>3.6</v>
      </c>
      <c r="I72" s="214"/>
      <c r="J72" s="214"/>
    </row>
    <row r="73" spans="1:10" x14ac:dyDescent="0.25">
      <c r="A73" s="214"/>
      <c r="B73" s="219"/>
      <c r="C73" s="214" t="s">
        <v>244</v>
      </c>
      <c r="D73" s="214"/>
      <c r="E73" s="214"/>
      <c r="F73" s="221"/>
      <c r="G73" s="214"/>
      <c r="H73" s="221">
        <v>10.31</v>
      </c>
      <c r="I73" s="214"/>
      <c r="J73" s="214"/>
    </row>
    <row r="74" spans="1:10" x14ac:dyDescent="0.25">
      <c r="A74" s="214"/>
      <c r="B74" s="219"/>
      <c r="C74" s="214" t="s">
        <v>245</v>
      </c>
      <c r="D74" s="214"/>
      <c r="E74" s="214"/>
      <c r="F74" s="221"/>
      <c r="G74" s="214"/>
      <c r="H74" s="221">
        <v>6.89</v>
      </c>
      <c r="I74" s="214"/>
      <c r="J74" s="214"/>
    </row>
    <row r="75" spans="1:10" x14ac:dyDescent="0.25">
      <c r="A75" s="214"/>
      <c r="B75" s="219"/>
      <c r="C75" s="214" t="s">
        <v>246</v>
      </c>
      <c r="D75" s="214"/>
      <c r="E75" s="214"/>
      <c r="F75" s="221"/>
      <c r="G75" s="214"/>
      <c r="H75" s="221">
        <v>6.89</v>
      </c>
      <c r="I75" s="214"/>
      <c r="J75" s="214"/>
    </row>
    <row r="76" spans="1:10" x14ac:dyDescent="0.25">
      <c r="A76" s="214"/>
      <c r="B76" s="219"/>
      <c r="C76" s="214" t="s">
        <v>247</v>
      </c>
      <c r="D76" s="214"/>
      <c r="E76" s="214"/>
      <c r="F76" s="221"/>
      <c r="G76" s="214"/>
      <c r="H76" s="221">
        <v>14.99</v>
      </c>
      <c r="I76" s="214"/>
      <c r="J76" s="240"/>
    </row>
    <row r="77" spans="1:10" x14ac:dyDescent="0.25">
      <c r="A77" s="214"/>
      <c r="B77" s="219"/>
      <c r="C77" s="214" t="s">
        <v>252</v>
      </c>
      <c r="D77" s="214"/>
      <c r="E77" s="214"/>
      <c r="F77" s="221"/>
      <c r="G77" s="214"/>
      <c r="H77" s="221">
        <v>4.24</v>
      </c>
      <c r="I77" s="214"/>
      <c r="J77" s="240"/>
    </row>
    <row r="78" spans="1:10" x14ac:dyDescent="0.25">
      <c r="A78" s="214"/>
      <c r="B78" s="219"/>
      <c r="C78" s="214" t="s">
        <v>253</v>
      </c>
      <c r="D78" s="214"/>
      <c r="E78" s="214"/>
      <c r="F78" s="221"/>
      <c r="G78" s="214"/>
      <c r="H78" s="221">
        <v>19.45</v>
      </c>
      <c r="I78" s="214"/>
      <c r="J78" s="240"/>
    </row>
    <row r="79" spans="1:10" x14ac:dyDescent="0.25">
      <c r="A79" s="214"/>
      <c r="B79" s="219"/>
      <c r="C79" s="214" t="s">
        <v>254</v>
      </c>
      <c r="D79" s="214"/>
      <c r="E79" s="214"/>
      <c r="F79" s="221"/>
      <c r="G79" s="214"/>
      <c r="H79" s="221">
        <v>6.87</v>
      </c>
      <c r="I79" s="214"/>
      <c r="J79" s="240"/>
    </row>
    <row r="80" spans="1:10" x14ac:dyDescent="0.25">
      <c r="A80" s="214"/>
      <c r="B80" s="219"/>
      <c r="C80" s="214" t="s">
        <v>255</v>
      </c>
      <c r="D80" s="214"/>
      <c r="E80" s="214"/>
      <c r="F80" s="221"/>
      <c r="G80" s="214"/>
      <c r="H80" s="221">
        <v>11.84</v>
      </c>
      <c r="I80" s="214"/>
      <c r="J80" s="240"/>
    </row>
    <row r="81" spans="1:10" x14ac:dyDescent="0.25">
      <c r="A81" s="214"/>
      <c r="B81" s="219"/>
      <c r="C81" s="214" t="s">
        <v>256</v>
      </c>
      <c r="D81" s="214"/>
      <c r="E81" s="214"/>
      <c r="F81" s="221"/>
      <c r="G81" s="214"/>
      <c r="H81" s="221">
        <v>6.69</v>
      </c>
      <c r="I81" s="214"/>
      <c r="J81" s="240"/>
    </row>
    <row r="82" spans="1:10" x14ac:dyDescent="0.25">
      <c r="A82" s="214"/>
      <c r="B82" s="219"/>
      <c r="C82" s="214" t="s">
        <v>257</v>
      </c>
      <c r="D82" s="214"/>
      <c r="E82" s="214"/>
      <c r="F82" s="221"/>
      <c r="G82" s="214"/>
      <c r="H82" s="221">
        <v>7.15</v>
      </c>
      <c r="I82" s="214"/>
      <c r="J82" s="240"/>
    </row>
    <row r="83" spans="1:10" x14ac:dyDescent="0.25">
      <c r="A83" s="214"/>
      <c r="B83" s="219"/>
      <c r="C83" s="214" t="s">
        <v>258</v>
      </c>
      <c r="D83" s="214"/>
      <c r="E83" s="214"/>
      <c r="F83" s="221"/>
      <c r="G83" s="214"/>
      <c r="H83" s="221">
        <v>7.15</v>
      </c>
      <c r="I83" s="214"/>
      <c r="J83" s="240"/>
    </row>
    <row r="84" spans="1:10" x14ac:dyDescent="0.25">
      <c r="A84" s="214"/>
      <c r="B84" s="219"/>
      <c r="C84" s="214" t="s">
        <v>259</v>
      </c>
      <c r="D84" s="214"/>
      <c r="E84" s="214"/>
      <c r="F84" s="221"/>
      <c r="G84" s="214"/>
      <c r="H84" s="221">
        <v>7.15</v>
      </c>
      <c r="I84" s="214"/>
      <c r="J84" s="240"/>
    </row>
    <row r="85" spans="1:10" x14ac:dyDescent="0.25">
      <c r="A85" s="214"/>
      <c r="B85" s="219"/>
      <c r="C85" s="214" t="s">
        <v>260</v>
      </c>
      <c r="D85" s="214"/>
      <c r="E85" s="214"/>
      <c r="F85" s="221"/>
      <c r="G85" s="214"/>
      <c r="H85" s="221">
        <v>7.15</v>
      </c>
      <c r="I85" s="214"/>
      <c r="J85" s="240">
        <f>SUM(H67:H85)</f>
        <v>150.31000000000003</v>
      </c>
    </row>
    <row r="86" spans="1:10" x14ac:dyDescent="0.25">
      <c r="A86" s="214"/>
      <c r="B86" s="219"/>
      <c r="C86" s="214"/>
      <c r="D86" s="214"/>
      <c r="E86" s="214"/>
      <c r="F86" s="221"/>
      <c r="G86" s="214"/>
      <c r="H86" s="221"/>
      <c r="I86" s="214"/>
      <c r="J86" s="240"/>
    </row>
    <row r="87" spans="1:10" ht="39.6" x14ac:dyDescent="0.25">
      <c r="A87" s="214" t="str">
        <f>ORÇAMENTO!A30</f>
        <v>2.2.6</v>
      </c>
      <c r="B87" s="219" t="str">
        <f>ORÇAMENTO!C30</f>
        <v>Fornecimento e aplicação de concreto USINADO Fck=20 MPa - considerando BOMBEAMENTO (5% de perdas já incluído no custo) (6% de taxa p/concr.bombeavel)</v>
      </c>
      <c r="C87" s="214" t="s">
        <v>294</v>
      </c>
      <c r="D87" s="214"/>
      <c r="E87" s="214"/>
      <c r="F87" s="221"/>
      <c r="G87" s="221">
        <v>0.1</v>
      </c>
      <c r="H87" s="221">
        <v>4.24</v>
      </c>
      <c r="I87" s="214">
        <f>G87*H87</f>
        <v>0.42400000000000004</v>
      </c>
      <c r="J87" s="240"/>
    </row>
    <row r="88" spans="1:10" x14ac:dyDescent="0.25">
      <c r="A88" s="214"/>
      <c r="B88" s="219"/>
      <c r="C88" s="214" t="s">
        <v>295</v>
      </c>
      <c r="D88" s="214"/>
      <c r="E88" s="214"/>
      <c r="F88" s="221"/>
      <c r="G88" s="221">
        <v>0.1</v>
      </c>
      <c r="H88" s="221">
        <v>8.1199999999999992</v>
      </c>
      <c r="I88" s="214">
        <f t="shared" ref="I88:I108" si="1">G88*H88</f>
        <v>0.81199999999999994</v>
      </c>
      <c r="J88" s="240"/>
    </row>
    <row r="89" spans="1:10" x14ac:dyDescent="0.25">
      <c r="A89" s="214"/>
      <c r="B89" s="219"/>
      <c r="C89" s="214" t="s">
        <v>296</v>
      </c>
      <c r="D89" s="214"/>
      <c r="E89" s="214"/>
      <c r="F89" s="221"/>
      <c r="G89" s="221">
        <v>0.1</v>
      </c>
      <c r="H89" s="221">
        <v>10.3</v>
      </c>
      <c r="I89" s="214">
        <f t="shared" si="1"/>
        <v>1.03</v>
      </c>
      <c r="J89" s="240"/>
    </row>
    <row r="90" spans="1:10" x14ac:dyDescent="0.25">
      <c r="A90" s="214"/>
      <c r="B90" s="219"/>
      <c r="C90" s="214" t="s">
        <v>297</v>
      </c>
      <c r="D90" s="214"/>
      <c r="E90" s="214"/>
      <c r="F90" s="221"/>
      <c r="G90" s="221">
        <v>0.1</v>
      </c>
      <c r="H90" s="221">
        <v>3.25</v>
      </c>
      <c r="I90" s="214">
        <f t="shared" si="1"/>
        <v>0.32500000000000001</v>
      </c>
      <c r="J90" s="240"/>
    </row>
    <row r="91" spans="1:10" x14ac:dyDescent="0.25">
      <c r="A91" s="214"/>
      <c r="B91" s="219"/>
      <c r="C91" s="214" t="s">
        <v>298</v>
      </c>
      <c r="D91" s="214"/>
      <c r="E91" s="214"/>
      <c r="F91" s="221"/>
      <c r="G91" s="221">
        <v>0.1</v>
      </c>
      <c r="H91" s="221">
        <v>6.7</v>
      </c>
      <c r="I91" s="214">
        <f t="shared" si="1"/>
        <v>0.67</v>
      </c>
      <c r="J91" s="240"/>
    </row>
    <row r="92" spans="1:10" x14ac:dyDescent="0.25">
      <c r="A92" s="214"/>
      <c r="B92" s="219"/>
      <c r="C92" s="214" t="s">
        <v>299</v>
      </c>
      <c r="D92" s="214"/>
      <c r="E92" s="214"/>
      <c r="F92" s="221"/>
      <c r="G92" s="221">
        <v>0.1</v>
      </c>
      <c r="H92" s="221">
        <v>3.05</v>
      </c>
      <c r="I92" s="214">
        <f t="shared" si="1"/>
        <v>0.30499999999999999</v>
      </c>
      <c r="J92" s="240"/>
    </row>
    <row r="93" spans="1:10" x14ac:dyDescent="0.25">
      <c r="A93" s="214"/>
      <c r="B93" s="219"/>
      <c r="C93" s="214" t="s">
        <v>300</v>
      </c>
      <c r="D93" s="214"/>
      <c r="E93" s="214"/>
      <c r="F93" s="221"/>
      <c r="G93" s="221">
        <v>0.1</v>
      </c>
      <c r="H93" s="221">
        <v>10.86</v>
      </c>
      <c r="I93" s="214">
        <f t="shared" si="1"/>
        <v>1.0860000000000001</v>
      </c>
      <c r="J93" s="240"/>
    </row>
    <row r="94" spans="1:10" x14ac:dyDescent="0.25">
      <c r="A94" s="214"/>
      <c r="B94" s="219"/>
      <c r="C94" s="214" t="s">
        <v>301</v>
      </c>
      <c r="D94" s="214"/>
      <c r="E94" s="214"/>
      <c r="F94" s="221"/>
      <c r="G94" s="221">
        <v>0.1</v>
      </c>
      <c r="H94" s="221">
        <v>6.89</v>
      </c>
      <c r="I94" s="214">
        <f t="shared" si="1"/>
        <v>0.68900000000000006</v>
      </c>
      <c r="J94" s="240"/>
    </row>
    <row r="95" spans="1:10" x14ac:dyDescent="0.25">
      <c r="A95" s="214"/>
      <c r="B95" s="219"/>
      <c r="C95" s="214" t="s">
        <v>302</v>
      </c>
      <c r="D95" s="214"/>
      <c r="E95" s="214"/>
      <c r="F95" s="221"/>
      <c r="G95" s="221">
        <v>0.1</v>
      </c>
      <c r="H95" s="221">
        <v>6.89</v>
      </c>
      <c r="I95" s="214">
        <f t="shared" si="1"/>
        <v>0.68900000000000006</v>
      </c>
      <c r="J95" s="240"/>
    </row>
    <row r="96" spans="1:10" x14ac:dyDescent="0.25">
      <c r="A96" s="214"/>
      <c r="B96" s="219"/>
      <c r="C96" s="214" t="s">
        <v>303</v>
      </c>
      <c r="D96" s="214"/>
      <c r="E96" s="214"/>
      <c r="F96" s="221"/>
      <c r="G96" s="221">
        <v>0.1</v>
      </c>
      <c r="H96" s="221">
        <v>11.6</v>
      </c>
      <c r="I96" s="214">
        <f t="shared" si="1"/>
        <v>1.1599999999999999</v>
      </c>
      <c r="J96" s="240"/>
    </row>
    <row r="97" spans="1:10" x14ac:dyDescent="0.25">
      <c r="A97" s="214"/>
      <c r="B97" s="219"/>
      <c r="C97" s="214" t="s">
        <v>304</v>
      </c>
      <c r="D97" s="214"/>
      <c r="E97" s="214"/>
      <c r="F97" s="221"/>
      <c r="G97" s="221">
        <v>0.1</v>
      </c>
      <c r="H97" s="221">
        <v>3.5</v>
      </c>
      <c r="I97" s="214">
        <f t="shared" si="1"/>
        <v>0.35000000000000003</v>
      </c>
      <c r="J97" s="240"/>
    </row>
    <row r="98" spans="1:10" x14ac:dyDescent="0.25">
      <c r="A98" s="214"/>
      <c r="B98" s="219"/>
      <c r="C98" s="214" t="s">
        <v>305</v>
      </c>
      <c r="D98" s="214"/>
      <c r="E98" s="214"/>
      <c r="F98" s="221"/>
      <c r="G98" s="221">
        <v>0.1</v>
      </c>
      <c r="H98" s="221">
        <f>H87</f>
        <v>4.24</v>
      </c>
      <c r="I98" s="214">
        <f t="shared" si="1"/>
        <v>0.42400000000000004</v>
      </c>
      <c r="J98" s="240"/>
    </row>
    <row r="99" spans="1:10" x14ac:dyDescent="0.25">
      <c r="A99" s="214"/>
      <c r="B99" s="219"/>
      <c r="C99" s="214" t="s">
        <v>306</v>
      </c>
      <c r="D99" s="214"/>
      <c r="E99" s="214"/>
      <c r="F99" s="221"/>
      <c r="G99" s="221">
        <v>0.1</v>
      </c>
      <c r="H99" s="221">
        <v>6.75</v>
      </c>
      <c r="I99" s="214">
        <f t="shared" si="1"/>
        <v>0.67500000000000004</v>
      </c>
      <c r="J99" s="240"/>
    </row>
    <row r="100" spans="1:10" x14ac:dyDescent="0.25">
      <c r="A100" s="214"/>
      <c r="B100" s="219"/>
      <c r="C100" s="214" t="s">
        <v>307</v>
      </c>
      <c r="D100" s="214"/>
      <c r="E100" s="214"/>
      <c r="F100" s="221"/>
      <c r="G100" s="221">
        <v>0.1</v>
      </c>
      <c r="H100" s="221">
        <f t="shared" ref="H100:H108" si="2">H88</f>
        <v>8.1199999999999992</v>
      </c>
      <c r="I100" s="214">
        <f t="shared" si="1"/>
        <v>0.81199999999999994</v>
      </c>
      <c r="J100" s="240"/>
    </row>
    <row r="101" spans="1:10" x14ac:dyDescent="0.25">
      <c r="A101" s="214"/>
      <c r="B101" s="219"/>
      <c r="C101" s="214" t="s">
        <v>308</v>
      </c>
      <c r="D101" s="214"/>
      <c r="E101" s="214"/>
      <c r="F101" s="221"/>
      <c r="G101" s="221">
        <v>0.1</v>
      </c>
      <c r="H101" s="221">
        <f t="shared" si="2"/>
        <v>10.3</v>
      </c>
      <c r="I101" s="214">
        <f t="shared" si="1"/>
        <v>1.03</v>
      </c>
      <c r="J101" s="240"/>
    </row>
    <row r="102" spans="1:10" x14ac:dyDescent="0.25">
      <c r="A102" s="214"/>
      <c r="B102" s="219"/>
      <c r="C102" s="214" t="s">
        <v>309</v>
      </c>
      <c r="D102" s="214"/>
      <c r="E102" s="214"/>
      <c r="F102" s="221"/>
      <c r="G102" s="221">
        <v>0.1</v>
      </c>
      <c r="H102" s="221">
        <f t="shared" si="2"/>
        <v>3.25</v>
      </c>
      <c r="I102" s="214">
        <f t="shared" si="1"/>
        <v>0.32500000000000001</v>
      </c>
      <c r="J102" s="240"/>
    </row>
    <row r="103" spans="1:10" x14ac:dyDescent="0.25">
      <c r="A103" s="214"/>
      <c r="B103" s="219"/>
      <c r="C103" s="214" t="s">
        <v>310</v>
      </c>
      <c r="D103" s="214"/>
      <c r="E103" s="214"/>
      <c r="F103" s="221"/>
      <c r="G103" s="221">
        <v>0.1</v>
      </c>
      <c r="H103" s="221">
        <f t="shared" si="2"/>
        <v>6.7</v>
      </c>
      <c r="I103" s="214">
        <f t="shared" si="1"/>
        <v>0.67</v>
      </c>
      <c r="J103" s="240"/>
    </row>
    <row r="104" spans="1:10" x14ac:dyDescent="0.25">
      <c r="A104" s="214"/>
      <c r="B104" s="219"/>
      <c r="C104" s="214" t="s">
        <v>311</v>
      </c>
      <c r="D104" s="214"/>
      <c r="E104" s="214"/>
      <c r="F104" s="221"/>
      <c r="G104" s="221">
        <v>0.1</v>
      </c>
      <c r="H104" s="221">
        <f t="shared" si="2"/>
        <v>3.05</v>
      </c>
      <c r="I104" s="214">
        <f t="shared" si="1"/>
        <v>0.30499999999999999</v>
      </c>
      <c r="J104" s="240"/>
    </row>
    <row r="105" spans="1:10" x14ac:dyDescent="0.25">
      <c r="A105" s="214"/>
      <c r="B105" s="219"/>
      <c r="C105" s="214" t="s">
        <v>312</v>
      </c>
      <c r="D105" s="214"/>
      <c r="E105" s="214"/>
      <c r="F105" s="221"/>
      <c r="G105" s="221">
        <v>0.1</v>
      </c>
      <c r="H105" s="221">
        <f t="shared" si="2"/>
        <v>10.86</v>
      </c>
      <c r="I105" s="214">
        <f t="shared" si="1"/>
        <v>1.0860000000000001</v>
      </c>
      <c r="J105" s="240"/>
    </row>
    <row r="106" spans="1:10" x14ac:dyDescent="0.25">
      <c r="A106" s="214"/>
      <c r="B106" s="219"/>
      <c r="C106" s="214" t="s">
        <v>313</v>
      </c>
      <c r="D106" s="214"/>
      <c r="E106" s="214"/>
      <c r="F106" s="221"/>
      <c r="G106" s="221">
        <v>0.1</v>
      </c>
      <c r="H106" s="221">
        <f t="shared" si="2"/>
        <v>6.89</v>
      </c>
      <c r="I106" s="214">
        <f t="shared" si="1"/>
        <v>0.68900000000000006</v>
      </c>
      <c r="J106" s="240"/>
    </row>
    <row r="107" spans="1:10" x14ac:dyDescent="0.25">
      <c r="A107" s="214"/>
      <c r="B107" s="219"/>
      <c r="C107" s="214" t="s">
        <v>314</v>
      </c>
      <c r="D107" s="214"/>
      <c r="E107" s="214"/>
      <c r="F107" s="221"/>
      <c r="G107" s="221">
        <v>0.1</v>
      </c>
      <c r="H107" s="221">
        <f t="shared" si="2"/>
        <v>6.89</v>
      </c>
      <c r="I107" s="214">
        <f t="shared" si="1"/>
        <v>0.68900000000000006</v>
      </c>
      <c r="J107" s="240"/>
    </row>
    <row r="108" spans="1:10" x14ac:dyDescent="0.25">
      <c r="A108" s="214"/>
      <c r="B108" s="219"/>
      <c r="C108" s="214" t="s">
        <v>315</v>
      </c>
      <c r="D108" s="214"/>
      <c r="E108" s="214"/>
      <c r="F108" s="221"/>
      <c r="G108" s="221">
        <v>0.1</v>
      </c>
      <c r="H108" s="221">
        <f t="shared" si="2"/>
        <v>11.6</v>
      </c>
      <c r="I108" s="214">
        <f t="shared" si="1"/>
        <v>1.1599999999999999</v>
      </c>
      <c r="J108" s="240">
        <f>SUM(I87:I108)</f>
        <v>15.404999999999999</v>
      </c>
    </row>
    <row r="109" spans="1:10" x14ac:dyDescent="0.25">
      <c r="A109" s="214"/>
      <c r="B109" s="219"/>
      <c r="C109" s="214"/>
      <c r="D109" s="214"/>
      <c r="E109" s="214"/>
      <c r="F109" s="221"/>
      <c r="G109" s="214"/>
      <c r="H109" s="221"/>
      <c r="I109" s="214"/>
      <c r="J109" s="214"/>
    </row>
    <row r="110" spans="1:10" s="213" customFormat="1" x14ac:dyDescent="0.25">
      <c r="A110" s="216">
        <f>ORÇAMENTO!A32</f>
        <v>3</v>
      </c>
      <c r="B110" s="217" t="str">
        <f>ORÇAMENTO!C32</f>
        <v>ALVENARIA</v>
      </c>
      <c r="C110" s="216"/>
      <c r="D110" s="216"/>
      <c r="E110" s="216"/>
      <c r="F110" s="244"/>
      <c r="G110" s="216"/>
      <c r="H110" s="244"/>
      <c r="I110" s="216"/>
      <c r="J110" s="216"/>
    </row>
    <row r="111" spans="1:10" ht="52.8" x14ac:dyDescent="0.25">
      <c r="A111" s="214" t="str">
        <f>ORÇAMENTO!A33</f>
        <v>3.1</v>
      </c>
      <c r="B111" s="219" t="str">
        <f>ORÇAMENTO!C33</f>
        <v>Alvenaria de blocos cerâmicos 10 furos 10x20x20cm, assentados c/argamassa de cimento, cal hidratada CH1 e areia traço 1:0,5:8, esp. das juntas 12mm e esp. das paredes s/revestimento, 10cm (bloco comprado na fábrica, posto obra)</v>
      </c>
      <c r="C111" s="214" t="s">
        <v>261</v>
      </c>
      <c r="D111" s="214"/>
      <c r="E111" s="221">
        <f>E53</f>
        <v>75.5</v>
      </c>
      <c r="F111" s="221"/>
      <c r="G111" s="221">
        <f>G52</f>
        <v>2.9</v>
      </c>
      <c r="H111" s="221">
        <f>E111*G111</f>
        <v>218.95</v>
      </c>
      <c r="I111" s="214"/>
      <c r="J111" s="240"/>
    </row>
    <row r="112" spans="1:10" x14ac:dyDescent="0.25">
      <c r="A112" s="214"/>
      <c r="B112" s="219"/>
      <c r="C112" s="214" t="s">
        <v>262</v>
      </c>
      <c r="D112" s="214"/>
      <c r="E112" s="221">
        <f>E55</f>
        <v>70</v>
      </c>
      <c r="F112" s="221"/>
      <c r="G112" s="221">
        <f>G54</f>
        <v>2.9</v>
      </c>
      <c r="H112" s="221">
        <f>E112*G112</f>
        <v>203</v>
      </c>
      <c r="I112" s="214"/>
      <c r="J112" s="240">
        <f>H111+H112</f>
        <v>421.95</v>
      </c>
    </row>
    <row r="113" spans="1:10" x14ac:dyDescent="0.25">
      <c r="A113" s="214"/>
      <c r="B113" s="219"/>
      <c r="C113" s="214"/>
      <c r="D113" s="214"/>
      <c r="E113" s="214"/>
      <c r="F113" s="221"/>
      <c r="G113" s="214"/>
      <c r="H113" s="221"/>
      <c r="I113" s="214"/>
      <c r="J113" s="240"/>
    </row>
    <row r="114" spans="1:10" ht="26.4" x14ac:dyDescent="0.25">
      <c r="A114" s="214" t="str">
        <f>ORÇAMENTO!A34</f>
        <v>3.2</v>
      </c>
      <c r="B114" s="219" t="str">
        <f>ORÇAMENTO!C34</f>
        <v>Verga/contraverga reta de concreto armado 10 x 5 cm, Fck = 15 MPa, inclusive forma, armação e desforma</v>
      </c>
      <c r="C114" s="214" t="s">
        <v>265</v>
      </c>
      <c r="D114" s="214">
        <v>12</v>
      </c>
      <c r="E114" s="221">
        <v>0.8</v>
      </c>
      <c r="F114" s="221"/>
      <c r="G114" s="214"/>
      <c r="H114" s="221"/>
      <c r="I114" s="214"/>
      <c r="J114" s="214"/>
    </row>
    <row r="115" spans="1:10" x14ac:dyDescent="0.25">
      <c r="A115" s="214"/>
      <c r="B115" s="219"/>
      <c r="C115" s="214" t="s">
        <v>266</v>
      </c>
      <c r="D115" s="214">
        <v>1</v>
      </c>
      <c r="E115" s="221">
        <v>0.9</v>
      </c>
      <c r="F115" s="221"/>
      <c r="G115" s="214"/>
      <c r="H115" s="221"/>
      <c r="I115" s="214"/>
      <c r="J115" s="214"/>
    </row>
    <row r="116" spans="1:10" x14ac:dyDescent="0.25">
      <c r="A116" s="214"/>
      <c r="B116" s="219"/>
      <c r="C116" s="214" t="s">
        <v>267</v>
      </c>
      <c r="D116" s="214">
        <v>1</v>
      </c>
      <c r="E116" s="221">
        <v>2.6</v>
      </c>
      <c r="F116" s="221"/>
      <c r="G116" s="214"/>
      <c r="H116" s="221"/>
      <c r="I116" s="214"/>
      <c r="J116" s="214"/>
    </row>
    <row r="117" spans="1:10" x14ac:dyDescent="0.25">
      <c r="A117" s="214"/>
      <c r="B117" s="219"/>
      <c r="C117" s="214" t="s">
        <v>268</v>
      </c>
      <c r="D117" s="214">
        <v>1</v>
      </c>
      <c r="E117" s="214">
        <v>1.1499999999999999</v>
      </c>
      <c r="F117" s="221"/>
      <c r="G117" s="214"/>
      <c r="H117" s="221"/>
      <c r="I117" s="214"/>
      <c r="J117" s="214"/>
    </row>
    <row r="118" spans="1:10" x14ac:dyDescent="0.25">
      <c r="A118" s="214"/>
      <c r="B118" s="219"/>
      <c r="C118" s="214" t="s">
        <v>269</v>
      </c>
      <c r="D118" s="214">
        <v>5</v>
      </c>
      <c r="E118" s="221">
        <v>1.2</v>
      </c>
      <c r="F118" s="221"/>
      <c r="G118" s="214"/>
      <c r="H118" s="221"/>
      <c r="I118" s="214"/>
      <c r="J118" s="214"/>
    </row>
    <row r="119" spans="1:10" x14ac:dyDescent="0.25">
      <c r="A119" s="214"/>
      <c r="B119" s="219"/>
      <c r="C119" s="214" t="s">
        <v>270</v>
      </c>
      <c r="D119" s="214">
        <v>7</v>
      </c>
      <c r="E119" s="221">
        <v>1.5</v>
      </c>
      <c r="F119" s="221"/>
      <c r="G119" s="214"/>
      <c r="H119" s="221"/>
      <c r="I119" s="214"/>
      <c r="J119" s="214"/>
    </row>
    <row r="120" spans="1:10" x14ac:dyDescent="0.25">
      <c r="A120" s="214"/>
      <c r="B120" s="219"/>
      <c r="C120" s="214" t="s">
        <v>271</v>
      </c>
      <c r="D120" s="214">
        <v>2</v>
      </c>
      <c r="E120" s="221">
        <v>2</v>
      </c>
      <c r="F120" s="221"/>
      <c r="G120" s="214"/>
      <c r="H120" s="221"/>
      <c r="I120" s="214"/>
      <c r="J120" s="214"/>
    </row>
    <row r="121" spans="1:10" x14ac:dyDescent="0.25">
      <c r="A121" s="214"/>
      <c r="B121" s="219"/>
      <c r="C121" s="214" t="s">
        <v>272</v>
      </c>
      <c r="D121" s="214">
        <v>1</v>
      </c>
      <c r="E121" s="214">
        <v>0.55000000000000004</v>
      </c>
      <c r="F121" s="221"/>
      <c r="G121" s="214"/>
      <c r="H121" s="221"/>
      <c r="I121" s="214"/>
      <c r="J121" s="214"/>
    </row>
    <row r="122" spans="1:10" x14ac:dyDescent="0.25">
      <c r="A122" s="214"/>
      <c r="B122" s="219"/>
      <c r="C122" s="214" t="s">
        <v>273</v>
      </c>
      <c r="D122" s="214">
        <v>2</v>
      </c>
      <c r="E122" s="221">
        <v>0.6</v>
      </c>
      <c r="F122" s="221"/>
      <c r="G122" s="214"/>
      <c r="H122" s="221"/>
      <c r="I122" s="214"/>
      <c r="J122" s="240">
        <f>SUM(E114+E115+E116+(2*E117)+(2*E118)+(2*E119)+(2*E120)+(2*E121)+(2*E122))</f>
        <v>18.3</v>
      </c>
    </row>
    <row r="123" spans="1:10" x14ac:dyDescent="0.25">
      <c r="A123" s="214"/>
      <c r="B123" s="219"/>
      <c r="C123" s="214"/>
      <c r="D123" s="214"/>
      <c r="E123" s="214"/>
      <c r="F123" s="221"/>
      <c r="G123" s="214"/>
      <c r="H123" s="221"/>
      <c r="I123" s="214"/>
      <c r="J123" s="214"/>
    </row>
    <row r="124" spans="1:10" s="213" customFormat="1" x14ac:dyDescent="0.25">
      <c r="A124" s="216">
        <f>ORÇAMENTO!A36</f>
        <v>4</v>
      </c>
      <c r="B124" s="217" t="str">
        <f>ORÇAMENTO!C36</f>
        <v>ESQUADRIAS, PORTAS E VIDROS</v>
      </c>
      <c r="C124" s="216"/>
      <c r="D124" s="216"/>
      <c r="E124" s="216"/>
      <c r="F124" s="244"/>
      <c r="G124" s="216"/>
      <c r="H124" s="244"/>
      <c r="I124" s="216"/>
      <c r="J124" s="216"/>
    </row>
    <row r="125" spans="1:10" s="256" customFormat="1" ht="39.6" x14ac:dyDescent="0.25">
      <c r="A125" s="254" t="str">
        <f>ORÇAMENTO!A37</f>
        <v>4.1</v>
      </c>
      <c r="B125" s="257" t="str">
        <f>ORÇAMENTO!C37</f>
        <v>Marco de madeira de lei de 1ª (Peroba, Ipê, Angelim Pedra ou equivalente) com 15x3 cm de batente, nas dimensões de 0.80 x 2.10 m</v>
      </c>
      <c r="C125" s="254"/>
      <c r="D125" s="254">
        <f>D114</f>
        <v>12</v>
      </c>
      <c r="E125" s="254"/>
      <c r="F125" s="255"/>
      <c r="G125" s="255"/>
      <c r="H125" s="255"/>
      <c r="I125" s="254"/>
      <c r="J125" s="253">
        <f>D125</f>
        <v>12</v>
      </c>
    </row>
    <row r="126" spans="1:10" s="256" customFormat="1" x14ac:dyDescent="0.25">
      <c r="A126" s="254"/>
      <c r="B126" s="257"/>
      <c r="C126" s="254"/>
      <c r="D126" s="254"/>
      <c r="E126" s="254"/>
      <c r="F126" s="255"/>
      <c r="G126" s="255"/>
      <c r="H126" s="255"/>
      <c r="I126" s="254"/>
      <c r="J126" s="253"/>
    </row>
    <row r="127" spans="1:10" s="256" customFormat="1" ht="39.6" x14ac:dyDescent="0.25">
      <c r="A127" s="254" t="str">
        <f>ORÇAMENTO!A38</f>
        <v>4.2</v>
      </c>
      <c r="B127" s="257" t="str">
        <f>ORÇAMENTO!C38</f>
        <v>Marco de madeira de lei de 1ª (Peroba, Ipê, Angelim Pedra ou equivalente) com 15 x 3 cm de batente, nas dimensões de 0.90 x 2.10 m</v>
      </c>
      <c r="C127" s="254"/>
      <c r="D127" s="254">
        <f>D115</f>
        <v>1</v>
      </c>
      <c r="E127" s="254"/>
      <c r="F127" s="255"/>
      <c r="G127" s="254"/>
      <c r="H127" s="255"/>
      <c r="I127" s="254"/>
      <c r="J127" s="253">
        <f>D127</f>
        <v>1</v>
      </c>
    </row>
    <row r="128" spans="1:10" s="256" customFormat="1" x14ac:dyDescent="0.25">
      <c r="A128" s="254"/>
      <c r="B128" s="257"/>
      <c r="C128" s="254"/>
      <c r="D128" s="254"/>
      <c r="E128" s="254"/>
      <c r="F128" s="255"/>
      <c r="G128" s="254"/>
      <c r="H128" s="255"/>
      <c r="I128" s="254"/>
      <c r="J128" s="253"/>
    </row>
    <row r="129" spans="1:10" s="256" customFormat="1" ht="26.4" x14ac:dyDescent="0.25">
      <c r="A129" s="254" t="str">
        <f>ORÇAMENTO!A39</f>
        <v>4.3</v>
      </c>
      <c r="B129" s="257" t="str">
        <f>ORÇAMENTO!C39</f>
        <v>Marco de madeira de lei de 1ª (Peroba, Ipê, Angelim Pedra ou equivalente)com 15 x 3 cm de batente</v>
      </c>
      <c r="C129" s="254"/>
      <c r="D129" s="254">
        <f>D116</f>
        <v>1</v>
      </c>
      <c r="E129" s="255">
        <v>2.6</v>
      </c>
      <c r="F129" s="255">
        <v>0.15</v>
      </c>
      <c r="G129" s="255">
        <v>2.1</v>
      </c>
      <c r="H129" s="255"/>
      <c r="I129" s="254"/>
      <c r="J129" s="253">
        <f>E129+(2*G129)</f>
        <v>6.8000000000000007</v>
      </c>
    </row>
    <row r="130" spans="1:10" s="256" customFormat="1" x14ac:dyDescent="0.25">
      <c r="A130" s="254"/>
      <c r="B130" s="257"/>
      <c r="C130" s="254"/>
      <c r="D130" s="254"/>
      <c r="E130" s="254"/>
      <c r="F130" s="255"/>
      <c r="G130" s="254"/>
      <c r="H130" s="255"/>
      <c r="I130" s="254"/>
      <c r="J130" s="252"/>
    </row>
    <row r="131" spans="1:10" s="256" customFormat="1" ht="52.8" x14ac:dyDescent="0.25">
      <c r="A131" s="254" t="str">
        <f>ORÇAMENTO!A40</f>
        <v>4.4</v>
      </c>
      <c r="B131" s="257" t="str">
        <f>ORÇAMENTO!C40</f>
        <v>Porta em madeira de lei tipo angelim pedra ou equiv.c/enchimento em madeira 1a.qualidade esp. 30mm p/ pintura, inclusive alizares, dobradiças e fechadura externa em latão cromado LaFonte ou equiv., exclusive marco, nas dim.: 0.80 x 2.10 m</v>
      </c>
      <c r="C131" s="254"/>
      <c r="D131" s="254">
        <f>D125</f>
        <v>12</v>
      </c>
      <c r="E131" s="254"/>
      <c r="F131" s="255"/>
      <c r="G131" s="254"/>
      <c r="H131" s="255"/>
      <c r="I131" s="254"/>
      <c r="J131" s="252">
        <f>D131</f>
        <v>12</v>
      </c>
    </row>
    <row r="132" spans="1:10" s="256" customFormat="1" x14ac:dyDescent="0.25">
      <c r="A132" s="254"/>
      <c r="B132" s="257"/>
      <c r="C132" s="254"/>
      <c r="D132" s="254"/>
      <c r="E132" s="254"/>
      <c r="F132" s="255"/>
      <c r="G132" s="254"/>
      <c r="H132" s="255"/>
      <c r="I132" s="254"/>
      <c r="J132" s="252"/>
    </row>
    <row r="133" spans="1:10" s="256" customFormat="1" ht="52.8" x14ac:dyDescent="0.25">
      <c r="A133" s="254" t="str">
        <f>ORÇAMENTO!A41</f>
        <v>4.5</v>
      </c>
      <c r="B133" s="257" t="str">
        <f>ORÇAMENTO!C41</f>
        <v>Porta em madeira de lei tipo angelim pedra ou equiv.c/enchimento em madeira 1a.qualidade esp. 30mm p/ pintura, inclusive alizares, dobradiças e fechadura externa em latão cromado LaFonte ou equiv., exclusive marco, nas dim.: 0.90 x 2.10 m</v>
      </c>
      <c r="C133" s="258"/>
      <c r="D133" s="254">
        <f>D127</f>
        <v>1</v>
      </c>
      <c r="E133" s="255"/>
      <c r="F133" s="255"/>
      <c r="G133" s="255"/>
      <c r="H133" s="255"/>
      <c r="I133" s="254"/>
      <c r="J133" s="252">
        <f>D133</f>
        <v>1</v>
      </c>
    </row>
    <row r="134" spans="1:10" s="256" customFormat="1" x14ac:dyDescent="0.25">
      <c r="A134" s="254"/>
      <c r="B134" s="257"/>
      <c r="C134" s="258"/>
      <c r="D134" s="254"/>
      <c r="E134" s="255"/>
      <c r="F134" s="255"/>
      <c r="G134" s="255"/>
      <c r="H134" s="255"/>
      <c r="I134" s="254"/>
      <c r="J134" s="254"/>
    </row>
    <row r="135" spans="1:10" s="256" customFormat="1" ht="26.4" x14ac:dyDescent="0.25">
      <c r="A135" s="254" t="str">
        <f>ORÇAMENTO!A42</f>
        <v>4.6</v>
      </c>
      <c r="B135" s="257" t="str">
        <f>ORÇAMENTO!C42</f>
        <v>PORTA DE MADEIRA-DE-LEI TIPO VENEZIANA (ANGELIM OU EQUIVALENTE REGIONAL), E = *3,5* CM</v>
      </c>
      <c r="C135" s="258"/>
      <c r="D135" s="254">
        <f>D129</f>
        <v>1</v>
      </c>
      <c r="E135" s="255">
        <v>2.6</v>
      </c>
      <c r="F135" s="255">
        <v>0.15</v>
      </c>
      <c r="G135" s="255">
        <v>2.1</v>
      </c>
      <c r="H135" s="255">
        <f>E135*G135</f>
        <v>5.4600000000000009</v>
      </c>
      <c r="I135" s="254"/>
      <c r="J135" s="253">
        <f>H135</f>
        <v>5.4600000000000009</v>
      </c>
    </row>
    <row r="136" spans="1:10" s="256" customFormat="1" x14ac:dyDescent="0.25">
      <c r="A136" s="254"/>
      <c r="B136" s="257"/>
      <c r="C136" s="258"/>
      <c r="D136" s="254"/>
      <c r="E136" s="254"/>
      <c r="F136" s="255"/>
      <c r="G136" s="255"/>
      <c r="H136" s="255"/>
      <c r="I136" s="254"/>
      <c r="J136" s="253"/>
    </row>
    <row r="137" spans="1:10" s="256" customFormat="1" ht="39.6" x14ac:dyDescent="0.25">
      <c r="A137" s="254" t="str">
        <f>ORÇAMENTO!A43</f>
        <v>4.7</v>
      </c>
      <c r="B137" s="257" t="str">
        <f>ORÇAMENTO!C43</f>
        <v>Janela de correr para vidro em alumínio anodizado cor natural, linha 25, completa, incl. puxador com tranca, alizar, caixilho e contramarco, exclusive vidro</v>
      </c>
      <c r="C137" s="214" t="s">
        <v>268</v>
      </c>
      <c r="D137" s="254">
        <v>1</v>
      </c>
      <c r="E137" s="254">
        <v>1.1499999999999999</v>
      </c>
      <c r="F137" s="255"/>
      <c r="G137" s="255">
        <v>1.1000000000000001</v>
      </c>
      <c r="H137" s="255">
        <f>SUM((E137*G137)*D137)</f>
        <v>1.2649999999999999</v>
      </c>
      <c r="I137" s="254"/>
      <c r="J137" s="254"/>
    </row>
    <row r="138" spans="1:10" s="256" customFormat="1" x14ac:dyDescent="0.25">
      <c r="A138" s="254"/>
      <c r="B138" s="257"/>
      <c r="C138" s="214" t="s">
        <v>269</v>
      </c>
      <c r="D138" s="254">
        <v>5</v>
      </c>
      <c r="E138" s="255">
        <v>1.2</v>
      </c>
      <c r="F138" s="255"/>
      <c r="G138" s="255">
        <v>1.1000000000000001</v>
      </c>
      <c r="H138" s="255">
        <f t="shared" ref="H138:H143" si="3">SUM((E138*G138)*D138)</f>
        <v>6.6000000000000005</v>
      </c>
      <c r="I138" s="254"/>
      <c r="J138" s="254"/>
    </row>
    <row r="139" spans="1:10" s="256" customFormat="1" x14ac:dyDescent="0.25">
      <c r="A139" s="254"/>
      <c r="B139" s="257"/>
      <c r="C139" s="214" t="s">
        <v>270</v>
      </c>
      <c r="D139" s="254">
        <v>7</v>
      </c>
      <c r="E139" s="255">
        <v>1.5</v>
      </c>
      <c r="F139" s="255"/>
      <c r="G139" s="255">
        <v>1.1000000000000001</v>
      </c>
      <c r="H139" s="255">
        <f t="shared" si="3"/>
        <v>11.55</v>
      </c>
      <c r="I139" s="254"/>
      <c r="J139" s="254"/>
    </row>
    <row r="140" spans="1:10" s="256" customFormat="1" x14ac:dyDescent="0.25">
      <c r="A140" s="254"/>
      <c r="B140" s="257"/>
      <c r="C140" s="214" t="s">
        <v>271</v>
      </c>
      <c r="D140" s="254">
        <v>2</v>
      </c>
      <c r="E140" s="255">
        <v>2</v>
      </c>
      <c r="F140" s="255"/>
      <c r="G140" s="255">
        <v>0.8</v>
      </c>
      <c r="H140" s="255">
        <f t="shared" si="3"/>
        <v>3.2</v>
      </c>
      <c r="I140" s="254"/>
      <c r="J140" s="253">
        <f>SUM(H137:H140)</f>
        <v>22.614999999999998</v>
      </c>
    </row>
    <row r="141" spans="1:10" s="256" customFormat="1" x14ac:dyDescent="0.25">
      <c r="A141" s="254"/>
      <c r="B141" s="257"/>
      <c r="C141" s="258"/>
      <c r="D141" s="254"/>
      <c r="E141" s="254"/>
      <c r="F141" s="255"/>
      <c r="G141" s="254"/>
      <c r="H141" s="255"/>
      <c r="I141" s="254"/>
      <c r="J141" s="254"/>
    </row>
    <row r="142" spans="1:10" s="256" customFormat="1" ht="26.4" x14ac:dyDescent="0.25">
      <c r="A142" s="254" t="str">
        <f>ORÇAMENTO!A44</f>
        <v>4.8</v>
      </c>
      <c r="B142" s="257" t="str">
        <f>ORÇAMENTO!C44</f>
        <v>Báscula para vidro em alumínio anodizado cor natural, linha 25, completa, com tranca, caixilho, alizar e contramarco, exclusive vidro</v>
      </c>
      <c r="C142" s="214" t="s">
        <v>272</v>
      </c>
      <c r="D142" s="254">
        <v>1</v>
      </c>
      <c r="E142" s="254">
        <v>0.55000000000000004</v>
      </c>
      <c r="F142" s="255"/>
      <c r="G142" s="255">
        <v>1.1000000000000001</v>
      </c>
      <c r="H142" s="255">
        <f t="shared" si="3"/>
        <v>0.60500000000000009</v>
      </c>
      <c r="I142" s="254"/>
      <c r="J142" s="253"/>
    </row>
    <row r="143" spans="1:10" s="256" customFormat="1" x14ac:dyDescent="0.25">
      <c r="A143" s="254"/>
      <c r="B143" s="257"/>
      <c r="C143" s="214" t="s">
        <v>273</v>
      </c>
      <c r="D143" s="254">
        <v>2</v>
      </c>
      <c r="E143" s="255">
        <v>0.6</v>
      </c>
      <c r="F143" s="255"/>
      <c r="G143" s="255">
        <v>0.6</v>
      </c>
      <c r="H143" s="255">
        <f t="shared" si="3"/>
        <v>0.72</v>
      </c>
      <c r="I143" s="254"/>
      <c r="J143" s="253">
        <f>SUM(H142:H143)</f>
        <v>1.3250000000000002</v>
      </c>
    </row>
    <row r="144" spans="1:10" s="256" customFormat="1" x14ac:dyDescent="0.25">
      <c r="A144" s="254"/>
      <c r="B144" s="257"/>
      <c r="C144" s="254"/>
      <c r="D144" s="254"/>
      <c r="E144" s="254"/>
      <c r="F144" s="255"/>
      <c r="G144" s="254"/>
      <c r="H144" s="255"/>
      <c r="I144" s="254"/>
      <c r="J144" s="253"/>
    </row>
    <row r="145" spans="1:10" s="256" customFormat="1" x14ac:dyDescent="0.25">
      <c r="A145" s="254" t="str">
        <f>ORÇAMENTO!A45</f>
        <v>4.9</v>
      </c>
      <c r="B145" s="257" t="str">
        <f>ORÇAMENTO!C45</f>
        <v>Vidro plano transparente liso, com 4 mm de espessura</v>
      </c>
      <c r="C145" s="214" t="s">
        <v>268</v>
      </c>
      <c r="D145" s="214">
        <v>1</v>
      </c>
      <c r="E145" s="254">
        <v>1.1499999999999999</v>
      </c>
      <c r="F145" s="255"/>
      <c r="G145" s="255">
        <v>1.1000000000000001</v>
      </c>
      <c r="H145" s="255">
        <f>SUM((E145*G145)*D145)</f>
        <v>1.2649999999999999</v>
      </c>
      <c r="I145" s="254"/>
      <c r="J145" s="253"/>
    </row>
    <row r="146" spans="1:10" s="256" customFormat="1" x14ac:dyDescent="0.25">
      <c r="A146" s="254"/>
      <c r="B146" s="257"/>
      <c r="C146" s="214" t="s">
        <v>269</v>
      </c>
      <c r="D146" s="214">
        <v>5</v>
      </c>
      <c r="E146" s="255">
        <v>1.2</v>
      </c>
      <c r="F146" s="255"/>
      <c r="G146" s="255">
        <v>1.1000000000000001</v>
      </c>
      <c r="H146" s="255">
        <f t="shared" ref="H146:H150" si="4">SUM((E146*G146)*D146)</f>
        <v>6.6000000000000005</v>
      </c>
      <c r="I146" s="254"/>
      <c r="J146" s="253"/>
    </row>
    <row r="147" spans="1:10" s="256" customFormat="1" x14ac:dyDescent="0.25">
      <c r="A147" s="254"/>
      <c r="B147" s="257"/>
      <c r="C147" s="214" t="s">
        <v>270</v>
      </c>
      <c r="D147" s="214">
        <v>7</v>
      </c>
      <c r="E147" s="255">
        <v>1.5</v>
      </c>
      <c r="F147" s="255"/>
      <c r="G147" s="255">
        <v>1.1000000000000001</v>
      </c>
      <c r="H147" s="255">
        <f t="shared" si="4"/>
        <v>11.55</v>
      </c>
      <c r="I147" s="254"/>
      <c r="J147" s="253"/>
    </row>
    <row r="148" spans="1:10" s="256" customFormat="1" x14ac:dyDescent="0.25">
      <c r="A148" s="254"/>
      <c r="B148" s="257"/>
      <c r="C148" s="214" t="s">
        <v>271</v>
      </c>
      <c r="D148" s="214">
        <v>2</v>
      </c>
      <c r="E148" s="255">
        <v>2</v>
      </c>
      <c r="F148" s="255"/>
      <c r="G148" s="255">
        <v>0.8</v>
      </c>
      <c r="H148" s="255">
        <f t="shared" si="4"/>
        <v>3.2</v>
      </c>
      <c r="I148" s="254"/>
      <c r="J148" s="253"/>
    </row>
    <row r="149" spans="1:10" s="256" customFormat="1" x14ac:dyDescent="0.25">
      <c r="A149" s="254"/>
      <c r="B149" s="257"/>
      <c r="C149" s="214" t="s">
        <v>272</v>
      </c>
      <c r="D149" s="214">
        <v>1</v>
      </c>
      <c r="E149" s="254">
        <v>0.55000000000000004</v>
      </c>
      <c r="F149" s="255"/>
      <c r="G149" s="255">
        <v>1.1000000000000001</v>
      </c>
      <c r="H149" s="255">
        <f t="shared" si="4"/>
        <v>0.60500000000000009</v>
      </c>
      <c r="I149" s="254"/>
      <c r="J149" s="253"/>
    </row>
    <row r="150" spans="1:10" s="256" customFormat="1" x14ac:dyDescent="0.25">
      <c r="A150" s="254"/>
      <c r="B150" s="257"/>
      <c r="C150" s="214" t="s">
        <v>273</v>
      </c>
      <c r="D150" s="214">
        <v>2</v>
      </c>
      <c r="E150" s="255">
        <v>0.6</v>
      </c>
      <c r="F150" s="255"/>
      <c r="G150" s="255">
        <v>0.6</v>
      </c>
      <c r="H150" s="255">
        <f t="shared" si="4"/>
        <v>0.72</v>
      </c>
      <c r="I150" s="254"/>
      <c r="J150" s="253">
        <f>SUM(H145:H150)</f>
        <v>23.939999999999998</v>
      </c>
    </row>
    <row r="151" spans="1:10" s="256" customFormat="1" x14ac:dyDescent="0.25">
      <c r="A151" s="254"/>
      <c r="B151" s="257"/>
      <c r="C151" s="254"/>
      <c r="D151" s="254"/>
      <c r="E151" s="254"/>
      <c r="F151" s="255"/>
      <c r="G151" s="254"/>
      <c r="H151" s="255"/>
      <c r="I151" s="254"/>
      <c r="J151" s="253"/>
    </row>
    <row r="152" spans="1:10" s="213" customFormat="1" x14ac:dyDescent="0.25">
      <c r="A152" s="216">
        <f>ORÇAMENTO!A47</f>
        <v>5</v>
      </c>
      <c r="B152" s="217" t="str">
        <f>ORÇAMENTO!C47</f>
        <v>COBERTURA</v>
      </c>
      <c r="C152" s="217"/>
      <c r="D152" s="216"/>
      <c r="E152" s="216"/>
      <c r="F152" s="244"/>
      <c r="G152" s="216"/>
      <c r="H152" s="244"/>
      <c r="I152" s="216"/>
      <c r="J152" s="216"/>
    </row>
    <row r="153" spans="1:10" ht="28.8" customHeight="1" x14ac:dyDescent="0.25">
      <c r="A153" s="214" t="str">
        <f>ORÇAMENTO!A48</f>
        <v>5.1</v>
      </c>
      <c r="B153" s="219" t="str">
        <f>ORÇAMENTO!C48</f>
        <v>PERFIL METALICO "U" 200 X 50 X 3,8MM</v>
      </c>
      <c r="C153" s="214"/>
      <c r="D153" s="214"/>
      <c r="E153" s="221">
        <v>51.05</v>
      </c>
      <c r="F153" s="221"/>
      <c r="G153" s="214">
        <v>8.3800000000000008</v>
      </c>
      <c r="H153" s="221"/>
      <c r="I153" s="214"/>
      <c r="J153" s="240">
        <f>E153*G153</f>
        <v>427.79900000000004</v>
      </c>
    </row>
    <row r="154" spans="1:10" x14ac:dyDescent="0.25">
      <c r="A154" s="214"/>
      <c r="B154" s="219"/>
      <c r="C154" s="214"/>
      <c r="D154" s="214"/>
      <c r="E154" s="221"/>
      <c r="F154" s="221"/>
      <c r="G154" s="214"/>
      <c r="H154" s="221"/>
      <c r="I154" s="214"/>
      <c r="J154" s="240"/>
    </row>
    <row r="155" spans="1:10" ht="22.8" customHeight="1" x14ac:dyDescent="0.25">
      <c r="A155" s="214" t="str">
        <f>ORÇAMENTO!A49</f>
        <v>5.2</v>
      </c>
      <c r="B155" s="219" t="str">
        <f>ORÇAMENTO!C49</f>
        <v>PERFIL "U" ENRIJECIDO 200 X 75 X 25 X 2,65MM (7,92KG/M)</v>
      </c>
      <c r="C155" s="214"/>
      <c r="D155" s="214"/>
      <c r="E155" s="221">
        <v>26.25</v>
      </c>
      <c r="F155" s="221"/>
      <c r="G155" s="214">
        <v>7.92</v>
      </c>
      <c r="H155" s="221"/>
      <c r="I155" s="214"/>
      <c r="J155" s="240">
        <f>E155*G155</f>
        <v>207.9</v>
      </c>
    </row>
    <row r="156" spans="1:10" x14ac:dyDescent="0.25">
      <c r="A156" s="214"/>
      <c r="B156" s="219"/>
      <c r="C156" s="214"/>
      <c r="D156" s="214"/>
      <c r="E156" s="221"/>
      <c r="F156" s="221"/>
      <c r="G156" s="214"/>
      <c r="H156" s="221"/>
      <c r="I156" s="214"/>
      <c r="J156" s="240"/>
    </row>
    <row r="157" spans="1:10" ht="39.6" x14ac:dyDescent="0.25">
      <c r="A157" s="214" t="str">
        <f>ORÇAMENTO!A50</f>
        <v>5.3</v>
      </c>
      <c r="B157" s="219" t="str">
        <f>ORÇAMENTO!C50</f>
        <v>Telha em aço galvalume trapezoidal 40, e=0.50mm, pintura cor branca nas duas faces, inclusive acessório de fixação Ref. Santo André, Eternit, Metform ou equivalente</v>
      </c>
      <c r="C157" s="214"/>
      <c r="D157" s="214"/>
      <c r="E157" s="221"/>
      <c r="F157" s="221"/>
      <c r="G157" s="214"/>
      <c r="H157" s="221">
        <v>81</v>
      </c>
      <c r="I157" s="214"/>
      <c r="J157" s="240">
        <f>H157</f>
        <v>81</v>
      </c>
    </row>
    <row r="158" spans="1:10" x14ac:dyDescent="0.25">
      <c r="A158" s="214"/>
      <c r="B158" s="219"/>
      <c r="C158" s="214"/>
      <c r="D158" s="214"/>
      <c r="E158" s="221"/>
      <c r="F158" s="221"/>
      <c r="G158" s="214"/>
      <c r="H158" s="221"/>
      <c r="I158" s="214"/>
      <c r="J158" s="240"/>
    </row>
    <row r="159" spans="1:10" x14ac:dyDescent="0.25">
      <c r="A159" s="214" t="str">
        <f>ORÇAMENTO!A51</f>
        <v>5.4</v>
      </c>
      <c r="B159" s="219" t="str">
        <f>ORÇAMENTO!C51</f>
        <v>Rufo de chapa de alumínio esp. 0.5mm, largura de 30cm</v>
      </c>
      <c r="C159" s="214"/>
      <c r="D159" s="214"/>
      <c r="E159" s="221">
        <v>26</v>
      </c>
      <c r="F159" s="221"/>
      <c r="G159" s="214"/>
      <c r="H159" s="221"/>
      <c r="I159" s="214"/>
      <c r="J159" s="240">
        <f>E159</f>
        <v>26</v>
      </c>
    </row>
    <row r="160" spans="1:10" x14ac:dyDescent="0.25">
      <c r="A160" s="214"/>
      <c r="B160" s="219"/>
      <c r="C160" s="214"/>
      <c r="D160" s="214"/>
      <c r="E160" s="221"/>
      <c r="F160" s="221"/>
      <c r="G160" s="214"/>
      <c r="H160" s="221"/>
      <c r="I160" s="214"/>
      <c r="J160" s="240"/>
    </row>
    <row r="161" spans="1:10" ht="52.8" x14ac:dyDescent="0.25">
      <c r="A161" s="214" t="str">
        <f>ORÇAMENTO!A52</f>
        <v>5.5</v>
      </c>
      <c r="B161" s="219" t="str">
        <f>ORÇAMENTO!C52</f>
        <v>Platibanda de alvenaria de bloco cerâmico 10x20x20cm, assentado com argamassa de cimento, cal hidratada CH1 e areia no traço 1:0,5:8, amarrada com pilaretes em conc. arm. a cada 2m (H=1.0m), excl. revest.</v>
      </c>
      <c r="C161" s="214"/>
      <c r="D161" s="214"/>
      <c r="E161" s="221">
        <v>40</v>
      </c>
      <c r="F161" s="221"/>
      <c r="G161" s="221"/>
      <c r="H161" s="221"/>
      <c r="I161" s="214"/>
      <c r="J161" s="240">
        <f>E161</f>
        <v>40</v>
      </c>
    </row>
    <row r="162" spans="1:10" x14ac:dyDescent="0.25">
      <c r="A162" s="214"/>
      <c r="B162" s="219"/>
      <c r="C162" s="214"/>
      <c r="D162" s="214"/>
      <c r="E162" s="221"/>
      <c r="F162" s="221"/>
      <c r="G162" s="221"/>
      <c r="H162" s="221"/>
      <c r="I162" s="214"/>
      <c r="J162" s="240"/>
    </row>
    <row r="163" spans="1:10" x14ac:dyDescent="0.25">
      <c r="A163" s="214" t="str">
        <f>ORÇAMENTO!A53</f>
        <v>5.6</v>
      </c>
      <c r="B163" s="219" t="str">
        <f>ORÇAMENTO!C53</f>
        <v>Calha em chapa galvanizada com largura de 40 cm</v>
      </c>
      <c r="C163" s="214"/>
      <c r="D163" s="214"/>
      <c r="E163" s="221">
        <v>20</v>
      </c>
      <c r="F163" s="221"/>
      <c r="G163" s="214"/>
      <c r="H163" s="221"/>
      <c r="I163" s="214"/>
      <c r="J163" s="240">
        <f>E163</f>
        <v>20</v>
      </c>
    </row>
    <row r="164" spans="1:10" x14ac:dyDescent="0.25">
      <c r="A164" s="214"/>
      <c r="B164" s="219"/>
      <c r="C164" s="214"/>
      <c r="D164" s="214"/>
      <c r="E164" s="221"/>
      <c r="F164" s="221"/>
      <c r="G164" s="214"/>
      <c r="H164" s="221"/>
      <c r="I164" s="214"/>
      <c r="J164" s="240"/>
    </row>
    <row r="165" spans="1:10" s="213" customFormat="1" x14ac:dyDescent="0.25">
      <c r="A165" s="216">
        <f>ORÇAMENTO!A55</f>
        <v>6</v>
      </c>
      <c r="B165" s="217" t="str">
        <f>ORÇAMENTO!C55</f>
        <v>REVESTIMENTOS TETO / FORRO</v>
      </c>
      <c r="C165" s="217"/>
      <c r="D165" s="216"/>
      <c r="E165" s="216"/>
      <c r="F165" s="244"/>
      <c r="G165" s="216"/>
      <c r="H165" s="244"/>
      <c r="I165" s="216"/>
      <c r="J165" s="216"/>
    </row>
    <row r="166" spans="1:10" ht="30.75" customHeight="1" x14ac:dyDescent="0.25">
      <c r="A166" s="214" t="str">
        <f>ORÇAMENTO!A56</f>
        <v>6.1</v>
      </c>
      <c r="B166" s="219" t="str">
        <f>ORÇAMENTO!C56</f>
        <v>Chapisco com argamassa de cimento e areia média ou grossa lavada no traço 1:3, espessura 5 mm</v>
      </c>
      <c r="C166" s="214" t="s">
        <v>238</v>
      </c>
      <c r="D166" s="214"/>
      <c r="E166" s="214"/>
      <c r="F166" s="221"/>
      <c r="G166" s="214"/>
      <c r="H166" s="221">
        <v>6.89</v>
      </c>
      <c r="I166" s="214"/>
      <c r="J166" s="240"/>
    </row>
    <row r="167" spans="1:10" x14ac:dyDescent="0.25">
      <c r="A167" s="214"/>
      <c r="B167" s="219"/>
      <c r="C167" s="214" t="s">
        <v>239</v>
      </c>
      <c r="D167" s="214"/>
      <c r="E167" s="214"/>
      <c r="F167" s="221"/>
      <c r="G167" s="214"/>
      <c r="H167" s="221">
        <v>8.64</v>
      </c>
      <c r="I167" s="214"/>
      <c r="J167" s="240"/>
    </row>
    <row r="168" spans="1:10" x14ac:dyDescent="0.25">
      <c r="A168" s="214"/>
      <c r="B168" s="219"/>
      <c r="C168" s="214" t="s">
        <v>240</v>
      </c>
      <c r="D168" s="214"/>
      <c r="E168" s="214"/>
      <c r="F168" s="221"/>
      <c r="G168" s="214"/>
      <c r="H168" s="221">
        <v>6.46</v>
      </c>
      <c r="I168" s="214"/>
      <c r="J168" s="240"/>
    </row>
    <row r="169" spans="1:10" x14ac:dyDescent="0.25">
      <c r="A169" s="214"/>
      <c r="B169" s="219"/>
      <c r="C169" s="214" t="s">
        <v>241</v>
      </c>
      <c r="D169" s="214"/>
      <c r="E169" s="214"/>
      <c r="F169" s="221"/>
      <c r="G169" s="214"/>
      <c r="H169" s="221">
        <v>3.71</v>
      </c>
      <c r="I169" s="214"/>
      <c r="J169" s="240"/>
    </row>
    <row r="170" spans="1:10" x14ac:dyDescent="0.25">
      <c r="A170" s="214"/>
      <c r="B170" s="219"/>
      <c r="C170" s="214" t="s">
        <v>242</v>
      </c>
      <c r="D170" s="214"/>
      <c r="E170" s="214"/>
      <c r="F170" s="221"/>
      <c r="G170" s="214"/>
      <c r="H170" s="221">
        <v>4.24</v>
      </c>
      <c r="I170" s="214"/>
      <c r="J170" s="240"/>
    </row>
    <row r="171" spans="1:10" x14ac:dyDescent="0.25">
      <c r="A171" s="214"/>
      <c r="B171" s="219"/>
      <c r="C171" s="214" t="s">
        <v>243</v>
      </c>
      <c r="D171" s="214"/>
      <c r="E171" s="214"/>
      <c r="F171" s="221"/>
      <c r="G171" s="214"/>
      <c r="H171" s="221">
        <v>3.6</v>
      </c>
      <c r="I171" s="214"/>
      <c r="J171" s="240"/>
    </row>
    <row r="172" spans="1:10" x14ac:dyDescent="0.25">
      <c r="A172" s="214"/>
      <c r="B172" s="219"/>
      <c r="C172" s="214" t="s">
        <v>244</v>
      </c>
      <c r="D172" s="214"/>
      <c r="E172" s="214"/>
      <c r="F172" s="221"/>
      <c r="G172" s="214"/>
      <c r="H172" s="221">
        <v>10.31</v>
      </c>
      <c r="I172" s="214"/>
      <c r="J172" s="240"/>
    </row>
    <row r="173" spans="1:10" x14ac:dyDescent="0.25">
      <c r="A173" s="214"/>
      <c r="B173" s="219"/>
      <c r="C173" s="214" t="s">
        <v>245</v>
      </c>
      <c r="D173" s="214"/>
      <c r="E173" s="214"/>
      <c r="F173" s="221"/>
      <c r="G173" s="214"/>
      <c r="H173" s="221">
        <v>6.89</v>
      </c>
      <c r="I173" s="214"/>
      <c r="J173" s="240"/>
    </row>
    <row r="174" spans="1:10" x14ac:dyDescent="0.25">
      <c r="A174" s="214"/>
      <c r="B174" s="219"/>
      <c r="C174" s="214" t="s">
        <v>246</v>
      </c>
      <c r="D174" s="214"/>
      <c r="E174" s="214"/>
      <c r="F174" s="221"/>
      <c r="G174" s="214"/>
      <c r="H174" s="221">
        <v>6.89</v>
      </c>
      <c r="I174" s="214"/>
      <c r="J174" s="240"/>
    </row>
    <row r="175" spans="1:10" x14ac:dyDescent="0.25">
      <c r="A175" s="214"/>
      <c r="B175" s="219"/>
      <c r="C175" s="214" t="s">
        <v>247</v>
      </c>
      <c r="D175" s="214"/>
      <c r="E175" s="214"/>
      <c r="F175" s="221"/>
      <c r="G175" s="214"/>
      <c r="H175" s="221">
        <v>14.99</v>
      </c>
      <c r="I175" s="214"/>
      <c r="J175" s="240"/>
    </row>
    <row r="176" spans="1:10" x14ac:dyDescent="0.25">
      <c r="A176" s="214"/>
      <c r="B176" s="219"/>
      <c r="C176" s="214" t="s">
        <v>252</v>
      </c>
      <c r="D176" s="214"/>
      <c r="E176" s="214"/>
      <c r="F176" s="221"/>
      <c r="G176" s="214"/>
      <c r="H176" s="221">
        <v>4.24</v>
      </c>
      <c r="I176" s="214"/>
      <c r="J176" s="240"/>
    </row>
    <row r="177" spans="1:10" x14ac:dyDescent="0.25">
      <c r="A177" s="214"/>
      <c r="B177" s="219"/>
      <c r="C177" s="214" t="s">
        <v>253</v>
      </c>
      <c r="D177" s="214"/>
      <c r="E177" s="214"/>
      <c r="F177" s="221"/>
      <c r="G177" s="214"/>
      <c r="H177" s="221">
        <v>19.45</v>
      </c>
      <c r="I177" s="214"/>
      <c r="J177" s="240"/>
    </row>
    <row r="178" spans="1:10" x14ac:dyDescent="0.25">
      <c r="A178" s="214"/>
      <c r="B178" s="219"/>
      <c r="C178" s="214" t="s">
        <v>254</v>
      </c>
      <c r="D178" s="214"/>
      <c r="E178" s="214"/>
      <c r="F178" s="221"/>
      <c r="G178" s="214"/>
      <c r="H178" s="221">
        <v>6.87</v>
      </c>
      <c r="I178" s="214"/>
      <c r="J178" s="240"/>
    </row>
    <row r="179" spans="1:10" x14ac:dyDescent="0.25">
      <c r="A179" s="214"/>
      <c r="B179" s="219"/>
      <c r="C179" s="214" t="s">
        <v>255</v>
      </c>
      <c r="D179" s="214"/>
      <c r="E179" s="214"/>
      <c r="F179" s="221"/>
      <c r="G179" s="214"/>
      <c r="H179" s="221">
        <v>11.84</v>
      </c>
      <c r="I179" s="214"/>
      <c r="J179" s="240"/>
    </row>
    <row r="180" spans="1:10" x14ac:dyDescent="0.25">
      <c r="A180" s="214"/>
      <c r="B180" s="219"/>
      <c r="C180" s="214" t="s">
        <v>256</v>
      </c>
      <c r="D180" s="214"/>
      <c r="E180" s="214"/>
      <c r="F180" s="221"/>
      <c r="G180" s="214"/>
      <c r="H180" s="221">
        <v>6.69</v>
      </c>
      <c r="I180" s="214"/>
      <c r="J180" s="240"/>
    </row>
    <row r="181" spans="1:10" x14ac:dyDescent="0.25">
      <c r="A181" s="214"/>
      <c r="B181" s="219"/>
      <c r="C181" s="214" t="s">
        <v>257</v>
      </c>
      <c r="D181" s="214"/>
      <c r="E181" s="214"/>
      <c r="F181" s="221"/>
      <c r="G181" s="214"/>
      <c r="H181" s="221">
        <v>7.15</v>
      </c>
      <c r="I181" s="214"/>
      <c r="J181" s="240"/>
    </row>
    <row r="182" spans="1:10" x14ac:dyDescent="0.25">
      <c r="A182" s="214"/>
      <c r="B182" s="219"/>
      <c r="C182" s="214" t="s">
        <v>258</v>
      </c>
      <c r="D182" s="214"/>
      <c r="E182" s="214"/>
      <c r="F182" s="221"/>
      <c r="G182" s="214"/>
      <c r="H182" s="221">
        <v>7.15</v>
      </c>
      <c r="I182" s="214"/>
      <c r="J182" s="240"/>
    </row>
    <row r="183" spans="1:10" x14ac:dyDescent="0.25">
      <c r="A183" s="214"/>
      <c r="B183" s="219"/>
      <c r="C183" s="214" t="s">
        <v>259</v>
      </c>
      <c r="D183" s="214"/>
      <c r="E183" s="214"/>
      <c r="F183" s="221"/>
      <c r="G183" s="214"/>
      <c r="H183" s="221">
        <v>7.15</v>
      </c>
      <c r="I183" s="214"/>
      <c r="J183" s="240"/>
    </row>
    <row r="184" spans="1:10" x14ac:dyDescent="0.25">
      <c r="A184" s="214"/>
      <c r="B184" s="219"/>
      <c r="C184" s="214" t="s">
        <v>260</v>
      </c>
      <c r="D184" s="214"/>
      <c r="E184" s="214"/>
      <c r="F184" s="221"/>
      <c r="G184" s="214"/>
      <c r="H184" s="221">
        <v>7.15</v>
      </c>
      <c r="I184" s="214"/>
      <c r="J184" s="240">
        <f>SUM(H166:H184)</f>
        <v>150.31000000000003</v>
      </c>
    </row>
    <row r="185" spans="1:10" x14ac:dyDescent="0.25">
      <c r="A185" s="214"/>
      <c r="B185" s="219"/>
      <c r="C185" s="241"/>
      <c r="D185" s="214"/>
      <c r="E185" s="214"/>
      <c r="F185" s="221"/>
      <c r="G185" s="214"/>
      <c r="H185" s="221"/>
      <c r="I185" s="214"/>
      <c r="J185" s="240"/>
    </row>
    <row r="186" spans="1:10" ht="26.4" x14ac:dyDescent="0.25">
      <c r="A186" s="214" t="str">
        <f>ORÇAMENTO!A57</f>
        <v>6.2</v>
      </c>
      <c r="B186" s="219" t="str">
        <f>ORÇAMENTO!C57</f>
        <v>Emboço de argamassa de cimento, cal hidratada CH1 e areia lavada traço 1:0.5:6, espessura 20 mm</v>
      </c>
      <c r="C186" s="241"/>
      <c r="D186" s="214"/>
      <c r="E186" s="214"/>
      <c r="F186" s="221"/>
      <c r="G186" s="214"/>
      <c r="H186" s="221">
        <f>J184</f>
        <v>150.31000000000003</v>
      </c>
      <c r="I186" s="214"/>
      <c r="J186" s="240">
        <f>H186</f>
        <v>150.31000000000003</v>
      </c>
    </row>
    <row r="187" spans="1:10" x14ac:dyDescent="0.25">
      <c r="A187" s="214"/>
      <c r="B187" s="219"/>
      <c r="C187" s="241"/>
      <c r="D187" s="214"/>
      <c r="E187" s="214"/>
      <c r="F187" s="221"/>
      <c r="G187" s="214"/>
      <c r="H187" s="221"/>
      <c r="I187" s="214"/>
      <c r="J187" s="240"/>
    </row>
    <row r="188" spans="1:10" s="213" customFormat="1" x14ac:dyDescent="0.25">
      <c r="A188" s="216">
        <f>ORÇAMENTO!A59</f>
        <v>7</v>
      </c>
      <c r="B188" s="217" t="str">
        <f>ORÇAMENTO!C59</f>
        <v>REVESTIMENTOS PAREDE</v>
      </c>
      <c r="C188" s="217"/>
      <c r="D188" s="216"/>
      <c r="E188" s="216"/>
      <c r="F188" s="244"/>
      <c r="G188" s="216"/>
      <c r="H188" s="244"/>
      <c r="I188" s="216"/>
      <c r="J188" s="216"/>
    </row>
    <row r="189" spans="1:10" ht="26.4" x14ac:dyDescent="0.25">
      <c r="A189" s="214" t="str">
        <f>ORÇAMENTO!A60</f>
        <v>7.1</v>
      </c>
      <c r="B189" s="219" t="str">
        <f>ORÇAMENTO!C60</f>
        <v>Chapisco de argamassa de cimento e areia média ou grossa lavada, no traço 1:3, espessura 5 mm</v>
      </c>
      <c r="C189" s="243" t="s">
        <v>261</v>
      </c>
      <c r="D189" s="243">
        <v>2</v>
      </c>
      <c r="E189" s="243"/>
      <c r="F189" s="201"/>
      <c r="G189" s="243"/>
      <c r="H189" s="201">
        <f>D189*H111</f>
        <v>437.9</v>
      </c>
      <c r="I189" s="243"/>
      <c r="J189" s="243"/>
    </row>
    <row r="190" spans="1:10" x14ac:dyDescent="0.25">
      <c r="A190" s="214"/>
      <c r="B190" s="219"/>
      <c r="C190" s="243" t="s">
        <v>262</v>
      </c>
      <c r="D190" s="243">
        <v>2</v>
      </c>
      <c r="E190" s="243"/>
      <c r="F190" s="201"/>
      <c r="G190" s="243"/>
      <c r="H190" s="201">
        <f>D190*H112</f>
        <v>406</v>
      </c>
      <c r="I190" s="243"/>
      <c r="J190" s="243"/>
    </row>
    <row r="191" spans="1:10" x14ac:dyDescent="0.25">
      <c r="A191" s="214"/>
      <c r="B191" s="219"/>
      <c r="C191" s="243" t="s">
        <v>274</v>
      </c>
      <c r="D191" s="243">
        <v>1</v>
      </c>
      <c r="E191" s="243"/>
      <c r="F191" s="201"/>
      <c r="G191" s="243"/>
      <c r="H191" s="201">
        <f>D191*E161</f>
        <v>40</v>
      </c>
      <c r="I191" s="243"/>
      <c r="J191" s="349">
        <f>H189+H190+H191</f>
        <v>883.9</v>
      </c>
    </row>
    <row r="192" spans="1:10" x14ac:dyDescent="0.25">
      <c r="A192" s="214"/>
      <c r="B192" s="219"/>
      <c r="C192" s="243"/>
      <c r="D192" s="243"/>
      <c r="E192" s="243"/>
      <c r="F192" s="201"/>
      <c r="G192" s="243"/>
      <c r="H192" s="201"/>
      <c r="I192" s="243"/>
      <c r="J192" s="243"/>
    </row>
    <row r="193" spans="1:10" ht="26.4" x14ac:dyDescent="0.25">
      <c r="A193" s="214" t="str">
        <f>ORÇAMENTO!A61</f>
        <v>7.2</v>
      </c>
      <c r="B193" s="219" t="str">
        <f>ORÇAMENTO!C61</f>
        <v>Reboco tipo paulista de argamassa de cimento, cal hidratada CH1 e areia média ou grossa lavada no traço 1:0.5:6, espessura 25 mm</v>
      </c>
      <c r="C193" s="243"/>
      <c r="D193" s="243"/>
      <c r="E193" s="243"/>
      <c r="F193" s="201"/>
      <c r="G193" s="243"/>
      <c r="H193" s="201">
        <f>J191</f>
        <v>883.9</v>
      </c>
      <c r="I193" s="243"/>
      <c r="J193" s="349">
        <f>H193</f>
        <v>883.9</v>
      </c>
    </row>
    <row r="194" spans="1:10" x14ac:dyDescent="0.25">
      <c r="A194" s="214"/>
      <c r="B194" s="219"/>
      <c r="C194" s="242"/>
      <c r="D194" s="243"/>
      <c r="E194" s="243"/>
      <c r="F194" s="201"/>
      <c r="G194" s="243"/>
      <c r="H194" s="201"/>
      <c r="I194" s="243"/>
      <c r="J194" s="243"/>
    </row>
    <row r="195" spans="1:10" ht="39.6" x14ac:dyDescent="0.25">
      <c r="A195" s="214" t="str">
        <f>ORÇAMENTO!A62</f>
        <v>7.3</v>
      </c>
      <c r="B195" s="219" t="str">
        <f>ORÇAMENTO!C62</f>
        <v>Azulejo branco 15 x 15 cm, juntas a prumo, assentado com argamassa de cimento colante, inclusive rejuntamento com cimento branco, marcas de referência Eliane, Cecrisa ou Portobello</v>
      </c>
      <c r="C195" s="243" t="s">
        <v>278</v>
      </c>
      <c r="D195" s="243"/>
      <c r="E195" s="243">
        <v>2.65</v>
      </c>
      <c r="F195" s="201">
        <v>1.4</v>
      </c>
      <c r="G195" s="201">
        <v>2.9</v>
      </c>
      <c r="H195" s="201">
        <f>(E195*F195)*G195</f>
        <v>10.758999999999999</v>
      </c>
      <c r="I195" s="243"/>
      <c r="J195" s="243"/>
    </row>
    <row r="196" spans="1:10" x14ac:dyDescent="0.25">
      <c r="A196" s="214"/>
      <c r="B196" s="219"/>
      <c r="C196" s="243" t="s">
        <v>241</v>
      </c>
      <c r="D196" s="243">
        <v>4.24</v>
      </c>
      <c r="E196" s="243"/>
      <c r="F196" s="201"/>
      <c r="G196" s="201">
        <v>2.9</v>
      </c>
      <c r="H196" s="201">
        <f>G196*D196</f>
        <v>12.295999999999999</v>
      </c>
      <c r="I196" s="243"/>
      <c r="J196" s="243"/>
    </row>
    <row r="197" spans="1:10" x14ac:dyDescent="0.25">
      <c r="A197" s="214"/>
      <c r="B197" s="219"/>
      <c r="C197" s="243" t="s">
        <v>252</v>
      </c>
      <c r="D197" s="243">
        <v>4.24</v>
      </c>
      <c r="E197" s="243"/>
      <c r="F197" s="201"/>
      <c r="G197" s="201">
        <v>2.9</v>
      </c>
      <c r="H197" s="201">
        <f>G197*D197</f>
        <v>12.295999999999999</v>
      </c>
      <c r="I197" s="243"/>
      <c r="J197" s="243"/>
    </row>
    <row r="198" spans="1:10" x14ac:dyDescent="0.25">
      <c r="A198" s="214"/>
      <c r="B198" s="219"/>
      <c r="C198" s="243" t="s">
        <v>275</v>
      </c>
      <c r="D198" s="243"/>
      <c r="E198" s="243"/>
      <c r="F198" s="201"/>
      <c r="G198" s="243"/>
      <c r="H198" s="201"/>
      <c r="I198" s="243"/>
      <c r="J198" s="243"/>
    </row>
    <row r="199" spans="1:10" x14ac:dyDescent="0.25">
      <c r="A199" s="214"/>
      <c r="B199" s="219"/>
      <c r="C199" s="243" t="s">
        <v>276</v>
      </c>
      <c r="D199" s="243">
        <v>3</v>
      </c>
      <c r="E199" s="201">
        <v>0.8</v>
      </c>
      <c r="F199" s="201">
        <v>2.1</v>
      </c>
      <c r="G199" s="243"/>
      <c r="H199" s="201">
        <f>(E199*F199)*D199</f>
        <v>5.0400000000000009</v>
      </c>
      <c r="I199" s="243"/>
      <c r="J199" s="243"/>
    </row>
    <row r="200" spans="1:10" x14ac:dyDescent="0.25">
      <c r="A200" s="214"/>
      <c r="B200" s="219"/>
      <c r="C200" s="243" t="s">
        <v>277</v>
      </c>
      <c r="D200" s="243">
        <v>2</v>
      </c>
      <c r="E200" s="201">
        <v>0.6</v>
      </c>
      <c r="F200" s="201">
        <v>0.6</v>
      </c>
      <c r="G200" s="243"/>
      <c r="H200" s="201">
        <f>(E200*F200)*D200</f>
        <v>0.72</v>
      </c>
      <c r="I200" s="243"/>
      <c r="J200" s="349">
        <f>SUM((H195+H196+H197)-(H199+H200))</f>
        <v>29.590999999999998</v>
      </c>
    </row>
    <row r="201" spans="1:10" x14ac:dyDescent="0.25">
      <c r="A201" s="214"/>
      <c r="B201" s="219"/>
      <c r="C201" s="243"/>
      <c r="D201" s="243"/>
      <c r="E201" s="243"/>
      <c r="F201" s="201"/>
      <c r="G201" s="243"/>
      <c r="H201" s="201"/>
      <c r="I201" s="243"/>
      <c r="J201" s="243"/>
    </row>
    <row r="202" spans="1:10" s="213" customFormat="1" x14ac:dyDescent="0.25">
      <c r="A202" s="216">
        <f>ORÇAMENTO!A64</f>
        <v>8</v>
      </c>
      <c r="B202" s="217" t="str">
        <f>ORÇAMENTO!C64</f>
        <v>REVESTIMENTO (Piso, contrapiso e azulejo)</v>
      </c>
      <c r="C202" s="217"/>
      <c r="D202" s="216"/>
      <c r="E202" s="216"/>
      <c r="F202" s="244"/>
      <c r="G202" s="216"/>
      <c r="H202" s="244"/>
      <c r="I202" s="216"/>
      <c r="J202" s="216"/>
    </row>
    <row r="203" spans="1:10" x14ac:dyDescent="0.25">
      <c r="A203" s="214" t="str">
        <f>ORÇAMENTO!A65</f>
        <v>8.1</v>
      </c>
      <c r="B203" s="219" t="str">
        <f>ORÇAMENTO!C65</f>
        <v>Lastro regularizado de concreto não estrutural, espessura de 8 cm</v>
      </c>
      <c r="C203" s="214" t="s">
        <v>238</v>
      </c>
      <c r="D203" s="214"/>
      <c r="E203" s="214"/>
      <c r="F203" s="221"/>
      <c r="G203" s="214"/>
      <c r="H203" s="221">
        <v>6.89</v>
      </c>
      <c r="I203" s="214"/>
      <c r="J203" s="214"/>
    </row>
    <row r="204" spans="1:10" x14ac:dyDescent="0.25">
      <c r="A204" s="214"/>
      <c r="B204" s="219"/>
      <c r="C204" s="214" t="s">
        <v>239</v>
      </c>
      <c r="D204" s="214"/>
      <c r="E204" s="214"/>
      <c r="F204" s="221"/>
      <c r="G204" s="214"/>
      <c r="H204" s="221">
        <v>8.64</v>
      </c>
      <c r="I204" s="214"/>
      <c r="J204" s="214"/>
    </row>
    <row r="205" spans="1:10" x14ac:dyDescent="0.25">
      <c r="A205" s="214"/>
      <c r="B205" s="219"/>
      <c r="C205" s="214" t="s">
        <v>240</v>
      </c>
      <c r="D205" s="214"/>
      <c r="E205" s="214"/>
      <c r="F205" s="221"/>
      <c r="G205" s="214"/>
      <c r="H205" s="221">
        <v>6.46</v>
      </c>
      <c r="I205" s="214"/>
      <c r="J205" s="214"/>
    </row>
    <row r="206" spans="1:10" x14ac:dyDescent="0.25">
      <c r="A206" s="214"/>
      <c r="B206" s="219"/>
      <c r="C206" s="214" t="s">
        <v>241</v>
      </c>
      <c r="D206" s="214"/>
      <c r="E206" s="214"/>
      <c r="F206" s="221"/>
      <c r="G206" s="214"/>
      <c r="H206" s="221">
        <v>3.71</v>
      </c>
      <c r="I206" s="214"/>
      <c r="J206" s="214"/>
    </row>
    <row r="207" spans="1:10" x14ac:dyDescent="0.25">
      <c r="A207" s="214"/>
      <c r="B207" s="219"/>
      <c r="C207" s="214" t="s">
        <v>242</v>
      </c>
      <c r="D207" s="214"/>
      <c r="E207" s="214"/>
      <c r="F207" s="221"/>
      <c r="G207" s="214"/>
      <c r="H207" s="221">
        <v>4.24</v>
      </c>
      <c r="I207" s="214"/>
      <c r="J207" s="214"/>
    </row>
    <row r="208" spans="1:10" x14ac:dyDescent="0.25">
      <c r="A208" s="214"/>
      <c r="B208" s="219"/>
      <c r="C208" s="214" t="s">
        <v>243</v>
      </c>
      <c r="D208" s="214"/>
      <c r="E208" s="214"/>
      <c r="F208" s="221"/>
      <c r="G208" s="214"/>
      <c r="H208" s="221">
        <v>3.6</v>
      </c>
      <c r="I208" s="214"/>
      <c r="J208" s="214"/>
    </row>
    <row r="209" spans="1:10" x14ac:dyDescent="0.25">
      <c r="A209" s="214"/>
      <c r="B209" s="219"/>
      <c r="C209" s="214" t="s">
        <v>244</v>
      </c>
      <c r="D209" s="214"/>
      <c r="E209" s="214"/>
      <c r="F209" s="221"/>
      <c r="G209" s="214"/>
      <c r="H209" s="221">
        <v>10.31</v>
      </c>
      <c r="I209" s="214"/>
      <c r="J209" s="214"/>
    </row>
    <row r="210" spans="1:10" x14ac:dyDescent="0.25">
      <c r="A210" s="214"/>
      <c r="B210" s="219"/>
      <c r="C210" s="214" t="s">
        <v>245</v>
      </c>
      <c r="D210" s="214"/>
      <c r="E210" s="214"/>
      <c r="F210" s="221"/>
      <c r="G210" s="214"/>
      <c r="H210" s="221">
        <v>6.89</v>
      </c>
      <c r="I210" s="214"/>
      <c r="J210" s="214"/>
    </row>
    <row r="211" spans="1:10" x14ac:dyDescent="0.25">
      <c r="A211" s="214"/>
      <c r="B211" s="219"/>
      <c r="C211" s="214" t="s">
        <v>246</v>
      </c>
      <c r="D211" s="214"/>
      <c r="E211" s="214"/>
      <c r="F211" s="221"/>
      <c r="G211" s="214"/>
      <c r="H211" s="221">
        <v>6.89</v>
      </c>
      <c r="I211" s="214"/>
      <c r="J211" s="214"/>
    </row>
    <row r="212" spans="1:10" x14ac:dyDescent="0.25">
      <c r="A212" s="214"/>
      <c r="B212" s="219"/>
      <c r="C212" s="214" t="s">
        <v>247</v>
      </c>
      <c r="D212" s="214"/>
      <c r="E212" s="214"/>
      <c r="F212" s="221"/>
      <c r="G212" s="214"/>
      <c r="H212" s="221">
        <v>14.99</v>
      </c>
      <c r="I212" s="214"/>
      <c r="J212" s="240">
        <f>SUM(H203:H212)</f>
        <v>72.62</v>
      </c>
    </row>
    <row r="213" spans="1:10" x14ac:dyDescent="0.25">
      <c r="A213" s="214"/>
      <c r="B213" s="219"/>
      <c r="C213" s="243"/>
      <c r="D213" s="214"/>
      <c r="E213" s="214"/>
      <c r="F213" s="221"/>
      <c r="G213" s="214"/>
      <c r="H213" s="221"/>
      <c r="I213" s="214"/>
      <c r="J213" s="214"/>
    </row>
    <row r="214" spans="1:10" ht="26.4" x14ac:dyDescent="0.25">
      <c r="A214" s="214" t="str">
        <f>ORÇAMENTO!A66</f>
        <v>8.2</v>
      </c>
      <c r="B214" s="219" t="str">
        <f>ORÇAMENTO!C66</f>
        <v>Regularização de base p/ revestimento cerâmico, com argamassa de cimento e areia no traço 1:5, espessura 3cm</v>
      </c>
      <c r="C214" s="242"/>
      <c r="D214" s="214"/>
      <c r="E214" s="214"/>
      <c r="F214" s="221"/>
      <c r="G214" s="214"/>
      <c r="H214" s="221">
        <f>J212</f>
        <v>72.62</v>
      </c>
      <c r="I214" s="214"/>
      <c r="J214" s="240">
        <f>H214</f>
        <v>72.62</v>
      </c>
    </row>
    <row r="215" spans="1:10" x14ac:dyDescent="0.25">
      <c r="A215" s="214"/>
      <c r="B215" s="219"/>
      <c r="C215" s="242"/>
      <c r="D215" s="214"/>
      <c r="E215" s="214"/>
      <c r="F215" s="221"/>
      <c r="G215" s="214"/>
      <c r="H215" s="221"/>
      <c r="I215" s="214"/>
      <c r="J215" s="214"/>
    </row>
    <row r="216" spans="1:10" ht="39.6" x14ac:dyDescent="0.25">
      <c r="A216" s="214" t="str">
        <f>ORÇAMENTO!A67</f>
        <v>8.3</v>
      </c>
      <c r="B216" s="219" t="str">
        <f>ORÇAMENTO!C67</f>
        <v>Piso cerâmico 45x45cm, PEI 5, Cargo Plus Gray, marcas de referência Eliane, Cecrisa ou Portobello, assentado com argamassa de cimento colante, inclusive rejuntamento</v>
      </c>
      <c r="C216" s="243" t="s">
        <v>261</v>
      </c>
      <c r="D216" s="214"/>
      <c r="E216" s="214"/>
      <c r="F216" s="221"/>
      <c r="G216" s="214"/>
      <c r="H216" s="221">
        <f>J212</f>
        <v>72.62</v>
      </c>
      <c r="I216" s="214"/>
      <c r="J216" s="240"/>
    </row>
    <row r="217" spans="1:10" x14ac:dyDescent="0.25">
      <c r="A217" s="214"/>
      <c r="B217" s="219"/>
      <c r="C217" s="243" t="s">
        <v>262</v>
      </c>
      <c r="D217" s="214"/>
      <c r="E217" s="214"/>
      <c r="F217" s="221"/>
      <c r="G217" s="214"/>
      <c r="H217" s="221">
        <f>SUM(H77:H85)</f>
        <v>77.69</v>
      </c>
      <c r="I217" s="214"/>
      <c r="J217" s="240">
        <f>H216+H217</f>
        <v>150.31</v>
      </c>
    </row>
    <row r="218" spans="1:10" x14ac:dyDescent="0.25">
      <c r="A218" s="214"/>
      <c r="B218" s="219"/>
      <c r="C218" s="243"/>
      <c r="D218" s="214"/>
      <c r="E218" s="214"/>
      <c r="F218" s="221"/>
      <c r="G218" s="214"/>
      <c r="H218" s="221"/>
      <c r="I218" s="214"/>
      <c r="J218" s="214"/>
    </row>
    <row r="219" spans="1:10" s="213" customFormat="1" x14ac:dyDescent="0.25">
      <c r="A219" s="216">
        <f>ORÇAMENTO!A69</f>
        <v>9</v>
      </c>
      <c r="B219" s="332" t="str">
        <f>ORÇAMENTO!C69</f>
        <v>SOLEIRAS, RODAPES E PEITORIS</v>
      </c>
      <c r="C219" s="333"/>
      <c r="D219" s="216"/>
      <c r="E219" s="216"/>
      <c r="F219" s="244"/>
      <c r="G219" s="216"/>
      <c r="H219" s="244"/>
      <c r="I219" s="216"/>
      <c r="J219" s="216"/>
    </row>
    <row r="220" spans="1:10" ht="26.4" x14ac:dyDescent="0.25">
      <c r="A220" s="214" t="str">
        <f>ORÇAMENTO!A70</f>
        <v>9.1</v>
      </c>
      <c r="B220" s="219" t="str">
        <f>ORÇAMENTO!C70</f>
        <v>Rodapé de cerâmica PEI-3, assentado com argamassa de cimento cola h = 7.0 cm, inclusive rejuntamento com cimento branco</v>
      </c>
      <c r="C220" s="214" t="s">
        <v>238</v>
      </c>
      <c r="D220" s="214">
        <v>2.6</v>
      </c>
      <c r="E220" s="214">
        <v>2.65</v>
      </c>
      <c r="F220" s="221">
        <v>1.4</v>
      </c>
      <c r="G220" s="214"/>
      <c r="H220" s="221"/>
      <c r="I220" s="214"/>
      <c r="J220" s="214"/>
    </row>
    <row r="221" spans="1:10" x14ac:dyDescent="0.25">
      <c r="A221" s="214"/>
      <c r="B221" s="219"/>
      <c r="C221" s="214" t="s">
        <v>239</v>
      </c>
      <c r="D221" s="214">
        <v>6.9</v>
      </c>
      <c r="E221" s="214">
        <v>6.9</v>
      </c>
      <c r="F221" s="221">
        <v>1.25</v>
      </c>
      <c r="G221" s="214"/>
      <c r="H221" s="221"/>
      <c r="I221" s="214"/>
      <c r="J221" s="214"/>
    </row>
    <row r="222" spans="1:10" x14ac:dyDescent="0.25">
      <c r="A222" s="214"/>
      <c r="B222" s="219"/>
      <c r="C222" s="214" t="s">
        <v>240</v>
      </c>
      <c r="D222" s="214">
        <v>5.25</v>
      </c>
      <c r="E222" s="214">
        <v>1.5</v>
      </c>
      <c r="F222" s="221">
        <v>2.95</v>
      </c>
      <c r="G222" s="214">
        <v>1.2</v>
      </c>
      <c r="H222" s="221"/>
      <c r="I222" s="214"/>
      <c r="J222" s="214"/>
    </row>
    <row r="223" spans="1:10" x14ac:dyDescent="0.25">
      <c r="A223" s="214"/>
      <c r="B223" s="219"/>
      <c r="C223" s="214" t="s">
        <v>241</v>
      </c>
      <c r="D223" s="214">
        <v>2.65</v>
      </c>
      <c r="E223" s="214">
        <v>2.65</v>
      </c>
      <c r="F223" s="221">
        <v>1.4</v>
      </c>
      <c r="G223" s="214">
        <v>1.4</v>
      </c>
      <c r="H223" s="221"/>
      <c r="I223" s="214"/>
      <c r="J223" s="214"/>
    </row>
    <row r="224" spans="1:10" x14ac:dyDescent="0.25">
      <c r="A224" s="214"/>
      <c r="B224" s="219"/>
      <c r="C224" s="214" t="s">
        <v>242</v>
      </c>
      <c r="D224" s="214">
        <v>1.43</v>
      </c>
      <c r="E224" s="214">
        <v>1.35</v>
      </c>
      <c r="F224" s="221">
        <v>1.75</v>
      </c>
      <c r="G224" s="214">
        <v>1.4</v>
      </c>
      <c r="H224" s="221">
        <v>2.7</v>
      </c>
      <c r="I224" s="214"/>
      <c r="J224" s="214"/>
    </row>
    <row r="225" spans="1:10" x14ac:dyDescent="0.25">
      <c r="A225" s="214"/>
      <c r="B225" s="219"/>
      <c r="C225" s="214" t="s">
        <v>244</v>
      </c>
      <c r="D225" s="214">
        <v>4.5</v>
      </c>
      <c r="E225" s="214">
        <v>1.22</v>
      </c>
      <c r="F225" s="221">
        <v>2.65</v>
      </c>
      <c r="G225" s="214">
        <v>2.2599999999999998</v>
      </c>
      <c r="H225" s="221">
        <v>2.66</v>
      </c>
      <c r="I225" s="214"/>
      <c r="J225" s="214"/>
    </row>
    <row r="226" spans="1:10" x14ac:dyDescent="0.25">
      <c r="A226" s="214"/>
      <c r="B226" s="219"/>
      <c r="C226" s="214" t="s">
        <v>245</v>
      </c>
      <c r="D226" s="214">
        <v>2.65</v>
      </c>
      <c r="E226" s="214">
        <v>2.65</v>
      </c>
      <c r="F226" s="221">
        <v>2.6</v>
      </c>
      <c r="G226" s="214">
        <v>2.6</v>
      </c>
      <c r="H226" s="221"/>
      <c r="I226" s="214"/>
      <c r="J226" s="214"/>
    </row>
    <row r="227" spans="1:10" x14ac:dyDescent="0.25">
      <c r="A227" s="214"/>
      <c r="B227" s="219"/>
      <c r="C227" s="214" t="s">
        <v>246</v>
      </c>
      <c r="D227" s="214">
        <v>2.6</v>
      </c>
      <c r="E227" s="214">
        <v>2.6</v>
      </c>
      <c r="F227" s="221">
        <v>2.65</v>
      </c>
      <c r="G227" s="214">
        <v>2.65</v>
      </c>
      <c r="H227" s="221"/>
      <c r="I227" s="214"/>
      <c r="J227" s="214"/>
    </row>
    <row r="228" spans="1:10" x14ac:dyDescent="0.25">
      <c r="A228" s="214"/>
      <c r="B228" s="219"/>
      <c r="C228" s="214" t="s">
        <v>247</v>
      </c>
      <c r="D228" s="214">
        <v>4.05</v>
      </c>
      <c r="E228" s="214">
        <v>4.3499999999999996</v>
      </c>
      <c r="F228" s="221">
        <v>2.65</v>
      </c>
      <c r="G228" s="214">
        <v>1</v>
      </c>
      <c r="H228" s="221">
        <v>1.7</v>
      </c>
      <c r="I228" s="214">
        <v>1.42</v>
      </c>
      <c r="J228" s="214">
        <v>1.28</v>
      </c>
    </row>
    <row r="229" spans="1:10" x14ac:dyDescent="0.25">
      <c r="A229" s="214"/>
      <c r="B229" s="219"/>
      <c r="C229" s="214" t="s">
        <v>252</v>
      </c>
      <c r="D229" s="214">
        <v>1.43</v>
      </c>
      <c r="E229" s="214">
        <v>1.35</v>
      </c>
      <c r="F229" s="221">
        <v>1.75</v>
      </c>
      <c r="G229" s="214">
        <v>1.4</v>
      </c>
      <c r="H229" s="221">
        <v>2.7</v>
      </c>
      <c r="I229" s="214"/>
      <c r="J229" s="214"/>
    </row>
    <row r="230" spans="1:10" x14ac:dyDescent="0.25">
      <c r="A230" s="214"/>
      <c r="B230" s="219"/>
      <c r="C230" s="214" t="s">
        <v>253</v>
      </c>
      <c r="D230" s="214">
        <v>3.65</v>
      </c>
      <c r="E230" s="214">
        <v>4.05</v>
      </c>
      <c r="F230" s="221">
        <v>2.8</v>
      </c>
      <c r="G230" s="214">
        <v>2.85</v>
      </c>
      <c r="H230" s="221">
        <v>1.4</v>
      </c>
      <c r="I230" s="214"/>
      <c r="J230" s="214"/>
    </row>
    <row r="231" spans="1:10" x14ac:dyDescent="0.25">
      <c r="A231" s="214"/>
      <c r="B231" s="219"/>
      <c r="C231" s="214" t="s">
        <v>254</v>
      </c>
      <c r="D231" s="214">
        <v>2.66</v>
      </c>
      <c r="E231" s="214">
        <v>1.22</v>
      </c>
      <c r="F231" s="221">
        <v>3.2</v>
      </c>
      <c r="G231" s="214">
        <v>2.65</v>
      </c>
      <c r="H231" s="221">
        <v>0.96</v>
      </c>
      <c r="I231" s="214"/>
      <c r="J231" s="214"/>
    </row>
    <row r="232" spans="1:10" x14ac:dyDescent="0.25">
      <c r="A232" s="214"/>
      <c r="B232" s="219"/>
      <c r="C232" s="214" t="s">
        <v>255</v>
      </c>
      <c r="D232" s="214">
        <v>6.85</v>
      </c>
      <c r="E232" s="214">
        <v>6.85</v>
      </c>
      <c r="F232" s="221">
        <v>1.25</v>
      </c>
      <c r="G232" s="214"/>
      <c r="H232" s="221"/>
      <c r="I232" s="214"/>
      <c r="J232" s="214"/>
    </row>
    <row r="233" spans="1:10" x14ac:dyDescent="0.25">
      <c r="A233" s="214"/>
      <c r="B233" s="219"/>
      <c r="C233" s="214" t="s">
        <v>256</v>
      </c>
      <c r="D233" s="214">
        <v>2.65</v>
      </c>
      <c r="E233" s="214">
        <v>2.65</v>
      </c>
      <c r="F233" s="221">
        <v>2.5499999999999998</v>
      </c>
      <c r="G233" s="214">
        <v>2.5499999999999998</v>
      </c>
      <c r="H233" s="221"/>
      <c r="I233" s="214"/>
      <c r="J233" s="214"/>
    </row>
    <row r="234" spans="1:10" x14ac:dyDescent="0.25">
      <c r="A234" s="214"/>
      <c r="B234" s="219"/>
      <c r="C234" s="214" t="s">
        <v>257</v>
      </c>
      <c r="D234" s="214">
        <v>2.7</v>
      </c>
      <c r="E234" s="214">
        <v>2.7</v>
      </c>
      <c r="F234" s="221">
        <v>2.65</v>
      </c>
      <c r="G234" s="214">
        <v>2.65</v>
      </c>
      <c r="H234" s="221"/>
      <c r="I234" s="214"/>
      <c r="J234" s="214"/>
    </row>
    <row r="235" spans="1:10" x14ac:dyDescent="0.25">
      <c r="A235" s="214"/>
      <c r="B235" s="219"/>
      <c r="C235" s="214" t="s">
        <v>258</v>
      </c>
      <c r="D235" s="214">
        <v>2.7</v>
      </c>
      <c r="E235" s="214">
        <v>2.7</v>
      </c>
      <c r="F235" s="221">
        <v>2.65</v>
      </c>
      <c r="G235" s="214">
        <v>2.65</v>
      </c>
      <c r="H235" s="221"/>
      <c r="I235" s="214"/>
      <c r="J235" s="214"/>
    </row>
    <row r="236" spans="1:10" x14ac:dyDescent="0.25">
      <c r="A236" s="214"/>
      <c r="B236" s="219"/>
      <c r="C236" s="214" t="s">
        <v>259</v>
      </c>
      <c r="D236" s="214">
        <v>2.7</v>
      </c>
      <c r="E236" s="214">
        <v>2.7</v>
      </c>
      <c r="F236" s="221">
        <v>2.65</v>
      </c>
      <c r="G236" s="214">
        <v>2.65</v>
      </c>
      <c r="H236" s="221"/>
      <c r="I236" s="214"/>
      <c r="J236" s="214"/>
    </row>
    <row r="237" spans="1:10" x14ac:dyDescent="0.25">
      <c r="A237" s="214"/>
      <c r="B237" s="219"/>
      <c r="C237" s="214" t="s">
        <v>260</v>
      </c>
      <c r="D237" s="214">
        <v>2.7</v>
      </c>
      <c r="E237" s="214">
        <v>2.7</v>
      </c>
      <c r="F237" s="221">
        <v>2.65</v>
      </c>
      <c r="G237" s="214">
        <v>2.65</v>
      </c>
      <c r="H237" s="221"/>
      <c r="I237" s="214"/>
      <c r="J237" s="221"/>
    </row>
    <row r="238" spans="1:10" x14ac:dyDescent="0.25">
      <c r="A238" s="214"/>
      <c r="B238" s="219"/>
      <c r="C238" s="214"/>
      <c r="D238" s="214">
        <f>SUM(D220:D237)</f>
        <v>60.67</v>
      </c>
      <c r="E238" s="214">
        <f>SUM(E220:E237)</f>
        <v>52.790000000000013</v>
      </c>
      <c r="F238" s="221">
        <f>SUM(F220:F237)</f>
        <v>41.449999999999996</v>
      </c>
      <c r="G238" s="214">
        <f>SUM(G220:G237)</f>
        <v>32.559999999999995</v>
      </c>
      <c r="H238" s="221">
        <f>SUM(H224:H231)</f>
        <v>12.120000000000001</v>
      </c>
      <c r="I238" s="214"/>
      <c r="J238" s="240">
        <f>D238+E238+F238+G238+H238+I228+J228</f>
        <v>202.29</v>
      </c>
    </row>
    <row r="239" spans="1:10" x14ac:dyDescent="0.25">
      <c r="A239" s="214"/>
      <c r="B239" s="219"/>
      <c r="C239" s="214"/>
      <c r="D239" s="214"/>
      <c r="E239" s="214"/>
      <c r="F239" s="221"/>
      <c r="G239" s="214"/>
      <c r="H239" s="221"/>
      <c r="I239" s="214"/>
      <c r="J239" s="240"/>
    </row>
    <row r="240" spans="1:10" x14ac:dyDescent="0.25">
      <c r="A240" s="214" t="str">
        <f>ORÇAMENTO!A71</f>
        <v>9.2</v>
      </c>
      <c r="B240" s="219" t="str">
        <f>ORÇAMENTO!C71</f>
        <v>Peitoril de granito cinza polido, 15 cm, esp. 3cm</v>
      </c>
      <c r="C240" s="243" t="s">
        <v>242</v>
      </c>
      <c r="D240" s="214"/>
      <c r="E240" s="221">
        <v>0.6</v>
      </c>
      <c r="F240" s="221"/>
      <c r="G240" s="214"/>
      <c r="H240" s="221"/>
      <c r="I240" s="214"/>
      <c r="J240" s="214"/>
    </row>
    <row r="241" spans="1:10" x14ac:dyDescent="0.25">
      <c r="A241" s="214"/>
      <c r="B241" s="219"/>
      <c r="C241" s="243" t="s">
        <v>279</v>
      </c>
      <c r="D241" s="214"/>
      <c r="E241" s="221">
        <v>2.4</v>
      </c>
      <c r="F241" s="221"/>
      <c r="G241" s="214"/>
      <c r="H241" s="221"/>
      <c r="I241" s="214"/>
      <c r="J241" s="214"/>
    </row>
    <row r="242" spans="1:10" x14ac:dyDescent="0.25">
      <c r="A242" s="214"/>
      <c r="B242" s="219"/>
      <c r="C242" s="243" t="s">
        <v>239</v>
      </c>
      <c r="D242" s="214"/>
      <c r="E242" s="221">
        <v>0.55000000000000004</v>
      </c>
      <c r="F242" s="221"/>
      <c r="G242" s="214"/>
      <c r="H242" s="221"/>
      <c r="I242" s="214"/>
      <c r="J242" s="214"/>
    </row>
    <row r="243" spans="1:10" x14ac:dyDescent="0.25">
      <c r="A243" s="214"/>
      <c r="B243" s="219"/>
      <c r="C243" s="243" t="s">
        <v>245</v>
      </c>
      <c r="D243" s="214"/>
      <c r="E243" s="221">
        <v>1.5</v>
      </c>
      <c r="F243" s="221"/>
      <c r="G243" s="214"/>
      <c r="H243" s="221"/>
      <c r="I243" s="214"/>
      <c r="J243" s="214"/>
    </row>
    <row r="244" spans="1:10" x14ac:dyDescent="0.25">
      <c r="A244" s="214"/>
      <c r="B244" s="219"/>
      <c r="C244" s="243" t="s">
        <v>246</v>
      </c>
      <c r="D244" s="214"/>
      <c r="E244" s="221">
        <v>1.5</v>
      </c>
      <c r="F244" s="221"/>
      <c r="G244" s="214"/>
      <c r="H244" s="221"/>
      <c r="I244" s="214"/>
      <c r="J244" s="214"/>
    </row>
    <row r="245" spans="1:10" x14ac:dyDescent="0.25">
      <c r="A245" s="214"/>
      <c r="B245" s="219"/>
      <c r="C245" s="243" t="s">
        <v>247</v>
      </c>
      <c r="D245" s="214"/>
      <c r="E245" s="221">
        <v>5.2</v>
      </c>
      <c r="F245" s="221"/>
      <c r="G245" s="214"/>
      <c r="H245" s="221"/>
      <c r="I245" s="214"/>
      <c r="J245" s="214"/>
    </row>
    <row r="246" spans="1:10" x14ac:dyDescent="0.25">
      <c r="A246" s="214"/>
      <c r="B246" s="219"/>
      <c r="C246" s="243" t="s">
        <v>252</v>
      </c>
      <c r="D246" s="214"/>
      <c r="E246" s="221">
        <v>0.6</v>
      </c>
      <c r="F246" s="221"/>
      <c r="G246" s="214"/>
      <c r="H246" s="221"/>
      <c r="I246" s="214"/>
      <c r="J246" s="214"/>
    </row>
    <row r="247" spans="1:10" x14ac:dyDescent="0.25">
      <c r="A247" s="214"/>
      <c r="B247" s="219"/>
      <c r="C247" s="243" t="s">
        <v>253</v>
      </c>
      <c r="D247" s="214"/>
      <c r="E247" s="221">
        <v>1.1499999999999999</v>
      </c>
      <c r="F247" s="221"/>
      <c r="G247" s="214"/>
      <c r="H247" s="221"/>
      <c r="I247" s="214"/>
      <c r="J247" s="214"/>
    </row>
    <row r="248" spans="1:10" x14ac:dyDescent="0.25">
      <c r="A248" s="214"/>
      <c r="B248" s="219"/>
      <c r="C248" s="243" t="s">
        <v>280</v>
      </c>
      <c r="D248" s="214"/>
      <c r="E248" s="221">
        <v>1.2</v>
      </c>
      <c r="F248" s="221"/>
      <c r="G248" s="214"/>
      <c r="H248" s="221"/>
      <c r="I248" s="214"/>
      <c r="J248" s="214"/>
    </row>
    <row r="249" spans="1:10" x14ac:dyDescent="0.25">
      <c r="A249" s="214"/>
      <c r="B249" s="219"/>
      <c r="C249" s="243" t="s">
        <v>255</v>
      </c>
      <c r="D249" s="214"/>
      <c r="E249" s="221">
        <v>1.2</v>
      </c>
      <c r="F249" s="221"/>
      <c r="G249" s="214"/>
      <c r="H249" s="221"/>
      <c r="I249" s="214"/>
      <c r="J249" s="214"/>
    </row>
    <row r="250" spans="1:10" x14ac:dyDescent="0.25">
      <c r="A250" s="214"/>
      <c r="B250" s="219"/>
      <c r="C250" s="243" t="s">
        <v>281</v>
      </c>
      <c r="D250" s="214"/>
      <c r="E250" s="221">
        <v>1.5</v>
      </c>
      <c r="F250" s="221"/>
      <c r="G250" s="214"/>
      <c r="H250" s="221"/>
      <c r="I250" s="214"/>
      <c r="J250" s="214"/>
    </row>
    <row r="251" spans="1:10" x14ac:dyDescent="0.25">
      <c r="A251" s="214"/>
      <c r="B251" s="219"/>
      <c r="C251" s="243" t="s">
        <v>282</v>
      </c>
      <c r="D251" s="214"/>
      <c r="E251" s="221">
        <v>1.5</v>
      </c>
      <c r="F251" s="221"/>
      <c r="G251" s="214"/>
      <c r="H251" s="221"/>
      <c r="I251" s="214"/>
      <c r="J251" s="214"/>
    </row>
    <row r="252" spans="1:10" x14ac:dyDescent="0.25">
      <c r="A252" s="214"/>
      <c r="B252" s="219"/>
      <c r="C252" s="243" t="s">
        <v>258</v>
      </c>
      <c r="D252" s="214"/>
      <c r="E252" s="221">
        <v>1.5</v>
      </c>
      <c r="F252" s="221"/>
      <c r="G252" s="214"/>
      <c r="H252" s="221"/>
      <c r="I252" s="214"/>
      <c r="J252" s="214"/>
    </row>
    <row r="253" spans="1:10" x14ac:dyDescent="0.25">
      <c r="A253" s="214"/>
      <c r="B253" s="219"/>
      <c r="C253" s="243" t="s">
        <v>283</v>
      </c>
      <c r="D253" s="214"/>
      <c r="E253" s="221">
        <v>1.5</v>
      </c>
      <c r="F253" s="221"/>
      <c r="G253" s="214"/>
      <c r="H253" s="221"/>
      <c r="I253" s="214"/>
      <c r="J253" s="214"/>
    </row>
    <row r="254" spans="1:10" x14ac:dyDescent="0.25">
      <c r="A254" s="214"/>
      <c r="B254" s="219"/>
      <c r="C254" s="243" t="s">
        <v>284</v>
      </c>
      <c r="D254" s="214"/>
      <c r="E254" s="221">
        <v>1.5</v>
      </c>
      <c r="F254" s="221"/>
      <c r="G254" s="214"/>
      <c r="H254" s="221"/>
      <c r="I254" s="214"/>
      <c r="J254" s="239"/>
    </row>
    <row r="255" spans="1:10" x14ac:dyDescent="0.25">
      <c r="A255" s="214"/>
      <c r="B255" s="219"/>
      <c r="C255" s="243" t="s">
        <v>274</v>
      </c>
      <c r="D255" s="214"/>
      <c r="E255" s="221">
        <f>E161</f>
        <v>40</v>
      </c>
      <c r="F255" s="221"/>
      <c r="G255" s="214"/>
      <c r="H255" s="221"/>
      <c r="I255" s="214"/>
      <c r="J255" s="240">
        <f>SUM(E240:E255)</f>
        <v>63.4</v>
      </c>
    </row>
    <row r="256" spans="1:10" x14ac:dyDescent="0.25">
      <c r="A256" s="214"/>
      <c r="B256" s="219"/>
      <c r="C256" s="243"/>
      <c r="D256" s="214"/>
      <c r="E256" s="214"/>
      <c r="F256" s="221"/>
      <c r="G256" s="214"/>
      <c r="H256" s="221"/>
      <c r="I256" s="214"/>
      <c r="J256" s="214"/>
    </row>
    <row r="257" spans="1:10" x14ac:dyDescent="0.25">
      <c r="A257" s="214" t="str">
        <f>ORÇAMENTO!A72</f>
        <v>9.3</v>
      </c>
      <c r="B257" s="219" t="str">
        <f>ORÇAMENTO!C72</f>
        <v>Soleira de granito esp. 2 cm e largura de 15 cm</v>
      </c>
      <c r="C257" s="243" t="s">
        <v>238</v>
      </c>
      <c r="D257" s="214"/>
      <c r="E257" s="221">
        <v>2.6</v>
      </c>
      <c r="F257" s="221"/>
      <c r="G257" s="214"/>
      <c r="H257" s="221"/>
      <c r="I257" s="214"/>
      <c r="J257" s="240"/>
    </row>
    <row r="258" spans="1:10" x14ac:dyDescent="0.25">
      <c r="A258" s="214"/>
      <c r="B258" s="219"/>
      <c r="C258" s="243" t="s">
        <v>245</v>
      </c>
      <c r="D258" s="214"/>
      <c r="E258" s="221">
        <v>0.8</v>
      </c>
      <c r="F258" s="221"/>
      <c r="G258" s="214"/>
      <c r="H258" s="221"/>
      <c r="I258" s="214"/>
      <c r="J258" s="240"/>
    </row>
    <row r="259" spans="1:10" x14ac:dyDescent="0.25">
      <c r="A259" s="214"/>
      <c r="B259" s="219"/>
      <c r="C259" s="243" t="s">
        <v>246</v>
      </c>
      <c r="D259" s="214"/>
      <c r="E259" s="221">
        <v>0.8</v>
      </c>
      <c r="F259" s="221"/>
      <c r="G259" s="214"/>
      <c r="H259" s="221"/>
      <c r="I259" s="214"/>
      <c r="J259" s="240"/>
    </row>
    <row r="260" spans="1:10" x14ac:dyDescent="0.25">
      <c r="A260" s="214"/>
      <c r="B260" s="219"/>
      <c r="C260" s="243" t="s">
        <v>247</v>
      </c>
      <c r="D260" s="214"/>
      <c r="E260" s="221">
        <v>0.9</v>
      </c>
      <c r="F260" s="221"/>
      <c r="G260" s="214"/>
      <c r="H260" s="221"/>
      <c r="I260" s="214"/>
      <c r="J260" s="240"/>
    </row>
    <row r="261" spans="1:10" x14ac:dyDescent="0.25">
      <c r="A261" s="214"/>
      <c r="B261" s="219"/>
      <c r="C261" s="243" t="s">
        <v>279</v>
      </c>
      <c r="D261" s="214"/>
      <c r="E261" s="221">
        <v>0.8</v>
      </c>
      <c r="F261" s="221"/>
      <c r="G261" s="214"/>
      <c r="H261" s="221"/>
      <c r="I261" s="214"/>
      <c r="J261" s="240"/>
    </row>
    <row r="262" spans="1:10" x14ac:dyDescent="0.25">
      <c r="A262" s="214"/>
      <c r="B262" s="219"/>
      <c r="C262" s="243" t="s">
        <v>241</v>
      </c>
      <c r="D262" s="214"/>
      <c r="E262" s="221">
        <v>0.8</v>
      </c>
      <c r="F262" s="221"/>
      <c r="G262" s="214"/>
      <c r="H262" s="221"/>
      <c r="I262" s="214"/>
      <c r="J262" s="240"/>
    </row>
    <row r="263" spans="1:10" x14ac:dyDescent="0.25">
      <c r="A263" s="214"/>
      <c r="B263" s="219"/>
      <c r="C263" s="243" t="s">
        <v>242</v>
      </c>
      <c r="D263" s="214"/>
      <c r="E263" s="221">
        <v>0.8</v>
      </c>
      <c r="F263" s="221"/>
      <c r="G263" s="214"/>
      <c r="H263" s="221"/>
      <c r="I263" s="214"/>
      <c r="J263" s="240"/>
    </row>
    <row r="264" spans="1:10" x14ac:dyDescent="0.25">
      <c r="A264" s="214"/>
      <c r="B264" s="219"/>
      <c r="C264" s="243" t="s">
        <v>252</v>
      </c>
      <c r="D264" s="214"/>
      <c r="E264" s="221">
        <v>0.8</v>
      </c>
      <c r="F264" s="221"/>
      <c r="G264" s="214"/>
      <c r="H264" s="221"/>
      <c r="I264" s="214"/>
      <c r="J264" s="240"/>
    </row>
    <row r="265" spans="1:10" x14ac:dyDescent="0.25">
      <c r="A265" s="214"/>
      <c r="B265" s="219"/>
      <c r="C265" s="243" t="s">
        <v>254</v>
      </c>
      <c r="D265" s="214"/>
      <c r="E265" s="221">
        <v>0.8</v>
      </c>
      <c r="F265" s="221"/>
      <c r="G265" s="214"/>
      <c r="H265" s="221"/>
      <c r="I265" s="214"/>
      <c r="J265" s="240"/>
    </row>
    <row r="266" spans="1:10" x14ac:dyDescent="0.25">
      <c r="A266" s="214"/>
      <c r="B266" s="219"/>
      <c r="C266" s="243" t="s">
        <v>281</v>
      </c>
      <c r="D266" s="214"/>
      <c r="E266" s="221">
        <v>0.8</v>
      </c>
      <c r="F266" s="221"/>
      <c r="G266" s="214"/>
      <c r="H266" s="221"/>
      <c r="I266" s="214"/>
      <c r="J266" s="240"/>
    </row>
    <row r="267" spans="1:10" x14ac:dyDescent="0.25">
      <c r="A267" s="214"/>
      <c r="B267" s="219"/>
      <c r="C267" s="243" t="s">
        <v>282</v>
      </c>
      <c r="D267" s="214"/>
      <c r="E267" s="221">
        <v>0.8</v>
      </c>
      <c r="F267" s="221"/>
      <c r="G267" s="214"/>
      <c r="H267" s="221"/>
      <c r="I267" s="214"/>
      <c r="J267" s="240"/>
    </row>
    <row r="268" spans="1:10" x14ac:dyDescent="0.25">
      <c r="A268" s="214"/>
      <c r="B268" s="219"/>
      <c r="C268" s="243" t="s">
        <v>285</v>
      </c>
      <c r="D268" s="214"/>
      <c r="E268" s="221">
        <v>0.8</v>
      </c>
      <c r="F268" s="221"/>
      <c r="G268" s="214"/>
      <c r="H268" s="221"/>
      <c r="I268" s="214"/>
      <c r="J268" s="240"/>
    </row>
    <row r="269" spans="1:10" x14ac:dyDescent="0.25">
      <c r="A269" s="214"/>
      <c r="B269" s="219"/>
      <c r="C269" s="243" t="s">
        <v>283</v>
      </c>
      <c r="D269" s="214"/>
      <c r="E269" s="221">
        <v>0.8</v>
      </c>
      <c r="F269" s="221"/>
      <c r="G269" s="214"/>
      <c r="H269" s="221"/>
      <c r="I269" s="214"/>
      <c r="J269" s="240"/>
    </row>
    <row r="270" spans="1:10" x14ac:dyDescent="0.25">
      <c r="A270" s="214"/>
      <c r="B270" s="219"/>
      <c r="C270" s="243" t="s">
        <v>284</v>
      </c>
      <c r="D270" s="214"/>
      <c r="E270" s="221">
        <v>0.8</v>
      </c>
      <c r="F270" s="221"/>
      <c r="G270" s="214"/>
      <c r="H270" s="221"/>
      <c r="I270" s="214"/>
      <c r="J270" s="240">
        <f>SUM(E257:E270)</f>
        <v>13.100000000000005</v>
      </c>
    </row>
    <row r="271" spans="1:10" x14ac:dyDescent="0.25">
      <c r="A271" s="214"/>
      <c r="B271" s="219"/>
      <c r="C271" s="243"/>
      <c r="D271" s="214"/>
      <c r="E271" s="214"/>
      <c r="F271" s="221"/>
      <c r="G271" s="214"/>
      <c r="H271" s="221"/>
      <c r="I271" s="214"/>
      <c r="J271" s="240"/>
    </row>
    <row r="272" spans="1:10" s="213" customFormat="1" x14ac:dyDescent="0.25">
      <c r="A272" s="216">
        <f>ORÇAMENTO!A74</f>
        <v>10</v>
      </c>
      <c r="B272" s="332" t="str">
        <f>ORÇAMENTO!C74</f>
        <v xml:space="preserve">INSTALAÇÕES (Hidro -Sanitária) </v>
      </c>
      <c r="C272" s="333"/>
      <c r="D272" s="216"/>
      <c r="E272" s="216"/>
      <c r="F272" s="244"/>
      <c r="G272" s="216"/>
      <c r="H272" s="244"/>
      <c r="I272" s="216"/>
      <c r="J272" s="216"/>
    </row>
    <row r="273" spans="1:10" x14ac:dyDescent="0.25">
      <c r="A273" s="214" t="str">
        <f>ORÇAMENTO!A75</f>
        <v>10.1</v>
      </c>
      <c r="B273" s="215" t="str">
        <f>ORÇAMENTO!C75</f>
        <v>Ponto de água fria (lavatório, tanque, pia de cozinha, etc...)</v>
      </c>
      <c r="C273" s="243" t="s">
        <v>286</v>
      </c>
      <c r="D273" s="214">
        <v>1</v>
      </c>
      <c r="E273" s="214"/>
      <c r="F273" s="221"/>
      <c r="G273" s="214"/>
      <c r="H273" s="221"/>
      <c r="I273" s="214"/>
      <c r="J273" s="214"/>
    </row>
    <row r="274" spans="1:10" x14ac:dyDescent="0.25">
      <c r="A274" s="214"/>
      <c r="B274" s="215"/>
      <c r="C274" s="243" t="s">
        <v>242</v>
      </c>
      <c r="D274" s="214">
        <v>1</v>
      </c>
      <c r="E274" s="214"/>
      <c r="F274" s="221"/>
      <c r="G274" s="214"/>
      <c r="H274" s="221"/>
      <c r="I274" s="214"/>
      <c r="J274" s="214"/>
    </row>
    <row r="275" spans="1:10" x14ac:dyDescent="0.25">
      <c r="A275" s="214"/>
      <c r="B275" s="215"/>
      <c r="C275" s="243" t="s">
        <v>252</v>
      </c>
      <c r="D275" s="214">
        <v>1</v>
      </c>
      <c r="E275" s="214"/>
      <c r="F275" s="221"/>
      <c r="G275" s="214"/>
      <c r="H275" s="221"/>
      <c r="I275" s="214"/>
      <c r="J275" s="240">
        <f>SUM(D273:D275)</f>
        <v>3</v>
      </c>
    </row>
    <row r="276" spans="1:10" x14ac:dyDescent="0.25">
      <c r="A276" s="214"/>
      <c r="B276" s="215"/>
      <c r="C276" s="243"/>
      <c r="D276" s="214"/>
      <c r="E276" s="214"/>
      <c r="F276" s="221"/>
      <c r="G276" s="214"/>
      <c r="H276" s="221"/>
      <c r="I276" s="214"/>
      <c r="J276" s="240"/>
    </row>
    <row r="277" spans="1:10" x14ac:dyDescent="0.25">
      <c r="A277" s="214" t="str">
        <f>ORÇAMENTO!A76</f>
        <v>10.2</v>
      </c>
      <c r="B277" s="215" t="str">
        <f>ORÇAMENTO!C76</f>
        <v>Ponto com registro de pressão (chuveiro, caixa de descarga, etc...)</v>
      </c>
      <c r="C277" s="243" t="s">
        <v>286</v>
      </c>
      <c r="D277" s="214">
        <v>1</v>
      </c>
      <c r="E277" s="214"/>
      <c r="F277" s="221"/>
      <c r="G277" s="214"/>
      <c r="H277" s="221"/>
      <c r="I277" s="214"/>
      <c r="J277" s="240"/>
    </row>
    <row r="278" spans="1:10" x14ac:dyDescent="0.25">
      <c r="A278" s="214"/>
      <c r="B278" s="215"/>
      <c r="C278" s="243" t="s">
        <v>242</v>
      </c>
      <c r="D278" s="214">
        <v>1</v>
      </c>
      <c r="E278" s="214"/>
      <c r="F278" s="221"/>
      <c r="G278" s="214"/>
      <c r="H278" s="221"/>
      <c r="I278" s="214"/>
      <c r="J278" s="240"/>
    </row>
    <row r="279" spans="1:10" x14ac:dyDescent="0.25">
      <c r="A279" s="214"/>
      <c r="B279" s="215"/>
      <c r="C279" s="243" t="s">
        <v>252</v>
      </c>
      <c r="D279" s="214">
        <v>1</v>
      </c>
      <c r="E279" s="214"/>
      <c r="F279" s="221"/>
      <c r="G279" s="214"/>
      <c r="H279" s="221"/>
      <c r="I279" s="214"/>
      <c r="J279" s="240">
        <f>SUM(D277:D279)</f>
        <v>3</v>
      </c>
    </row>
    <row r="280" spans="1:10" x14ac:dyDescent="0.25">
      <c r="A280" s="214"/>
      <c r="B280" s="215"/>
      <c r="C280" s="242"/>
      <c r="D280" s="214"/>
      <c r="E280" s="214"/>
      <c r="F280" s="221"/>
      <c r="G280" s="214"/>
      <c r="H280" s="221"/>
      <c r="I280" s="214"/>
      <c r="J280" s="240"/>
    </row>
    <row r="281" spans="1:10" x14ac:dyDescent="0.25">
      <c r="A281" s="214" t="str">
        <f>ORÇAMENTO!A77</f>
        <v>10.3</v>
      </c>
      <c r="B281" s="215" t="str">
        <f>ORÇAMENTO!C77</f>
        <v>Ponto para esgoto primário (vaso sanitário)</v>
      </c>
      <c r="C281" s="243" t="s">
        <v>286</v>
      </c>
      <c r="D281" s="214">
        <v>1</v>
      </c>
      <c r="E281" s="214"/>
      <c r="F281" s="221"/>
      <c r="G281" s="214"/>
      <c r="H281" s="221"/>
      <c r="I281" s="214"/>
      <c r="J281" s="240"/>
    </row>
    <row r="282" spans="1:10" x14ac:dyDescent="0.25">
      <c r="A282" s="214"/>
      <c r="B282" s="215"/>
      <c r="C282" s="243" t="s">
        <v>242</v>
      </c>
      <c r="D282" s="214">
        <v>1</v>
      </c>
      <c r="E282" s="214"/>
      <c r="F282" s="221"/>
      <c r="G282" s="214"/>
      <c r="H282" s="221"/>
      <c r="I282" s="214"/>
      <c r="J282" s="240"/>
    </row>
    <row r="283" spans="1:10" x14ac:dyDescent="0.25">
      <c r="A283" s="214"/>
      <c r="B283" s="215"/>
      <c r="C283" s="243" t="s">
        <v>252</v>
      </c>
      <c r="D283" s="214">
        <v>1</v>
      </c>
      <c r="E283" s="214"/>
      <c r="F283" s="221"/>
      <c r="G283" s="214"/>
      <c r="H283" s="221"/>
      <c r="I283" s="214"/>
      <c r="J283" s="240">
        <f>SUM(D281:D283)</f>
        <v>3</v>
      </c>
    </row>
    <row r="284" spans="1:10" x14ac:dyDescent="0.25">
      <c r="A284" s="214"/>
      <c r="B284" s="215"/>
      <c r="C284" s="243"/>
      <c r="D284" s="214"/>
      <c r="E284" s="214"/>
      <c r="F284" s="221"/>
      <c r="G284" s="214"/>
      <c r="H284" s="221"/>
      <c r="I284" s="214"/>
      <c r="J284" s="240"/>
    </row>
    <row r="285" spans="1:10" ht="26.4" x14ac:dyDescent="0.25">
      <c r="A285" s="214" t="str">
        <f>ORÇAMENTO!A78</f>
        <v>10.4</v>
      </c>
      <c r="B285" s="219" t="str">
        <f>ORÇAMENTO!C78</f>
        <v>Ponto para esgoto secundário (pia, lavatório, mictório, tanque, bidê, etc...)</v>
      </c>
      <c r="C285" s="243" t="s">
        <v>286</v>
      </c>
      <c r="D285" s="214">
        <v>1</v>
      </c>
      <c r="E285" s="214"/>
      <c r="F285" s="221"/>
      <c r="G285" s="214"/>
      <c r="H285" s="221"/>
      <c r="I285" s="214"/>
      <c r="J285" s="240"/>
    </row>
    <row r="286" spans="1:10" x14ac:dyDescent="0.25">
      <c r="A286" s="214"/>
      <c r="B286" s="219"/>
      <c r="C286" s="243" t="s">
        <v>242</v>
      </c>
      <c r="D286" s="214">
        <v>1</v>
      </c>
      <c r="E286" s="214"/>
      <c r="F286" s="221"/>
      <c r="G286" s="214"/>
      <c r="H286" s="221"/>
      <c r="I286" s="214"/>
      <c r="J286" s="240"/>
    </row>
    <row r="287" spans="1:10" x14ac:dyDescent="0.25">
      <c r="A287" s="214"/>
      <c r="B287" s="219"/>
      <c r="C287" s="243" t="s">
        <v>252</v>
      </c>
      <c r="D287" s="214">
        <v>1</v>
      </c>
      <c r="E287" s="214"/>
      <c r="F287" s="221"/>
      <c r="G287" s="214"/>
      <c r="H287" s="221"/>
      <c r="I287" s="214"/>
      <c r="J287" s="240">
        <f>SUM(D285:D287)</f>
        <v>3</v>
      </c>
    </row>
    <row r="288" spans="1:10" x14ac:dyDescent="0.25">
      <c r="A288" s="214"/>
      <c r="B288" s="219"/>
      <c r="C288" s="242"/>
      <c r="D288" s="214"/>
      <c r="E288" s="214"/>
      <c r="F288" s="221"/>
      <c r="G288" s="214"/>
      <c r="H288" s="221"/>
      <c r="I288" s="214"/>
      <c r="J288" s="239"/>
    </row>
    <row r="289" spans="1:10" ht="26.4" x14ac:dyDescent="0.25">
      <c r="A289" s="214" t="str">
        <f>ORÇAMENTO!A79</f>
        <v>10.5</v>
      </c>
      <c r="B289" s="219" t="str">
        <f>ORÇAMENTO!C79</f>
        <v>Ponto para ralo sifonado, inclusive ralo sifonado 100 x 40 mm c/ grelha em pvc</v>
      </c>
      <c r="C289" s="243" t="s">
        <v>286</v>
      </c>
      <c r="D289" s="214">
        <v>1</v>
      </c>
      <c r="E289" s="214"/>
      <c r="F289" s="221"/>
      <c r="G289" s="214"/>
      <c r="H289" s="221"/>
      <c r="I289" s="214"/>
      <c r="J289" s="240"/>
    </row>
    <row r="290" spans="1:10" x14ac:dyDescent="0.25">
      <c r="A290" s="214"/>
      <c r="B290" s="219"/>
      <c r="C290" s="243" t="s">
        <v>242</v>
      </c>
      <c r="D290" s="214">
        <v>1</v>
      </c>
      <c r="E290" s="214"/>
      <c r="F290" s="221"/>
      <c r="G290" s="214"/>
      <c r="H290" s="221"/>
      <c r="I290" s="214"/>
      <c r="J290" s="240"/>
    </row>
    <row r="291" spans="1:10" x14ac:dyDescent="0.25">
      <c r="A291" s="214"/>
      <c r="B291" s="219"/>
      <c r="C291" s="243" t="s">
        <v>252</v>
      </c>
      <c r="D291" s="214">
        <v>1</v>
      </c>
      <c r="E291" s="214"/>
      <c r="F291" s="221"/>
      <c r="G291" s="214"/>
      <c r="H291" s="221"/>
      <c r="I291" s="214"/>
      <c r="J291" s="240">
        <f>SUM(D289:D291)</f>
        <v>3</v>
      </c>
    </row>
    <row r="292" spans="1:10" x14ac:dyDescent="0.25">
      <c r="A292" s="214"/>
      <c r="B292" s="219"/>
      <c r="C292" s="243"/>
      <c r="D292" s="214"/>
      <c r="E292" s="214"/>
      <c r="F292" s="221"/>
      <c r="G292" s="214"/>
      <c r="H292" s="221"/>
      <c r="I292" s="214"/>
      <c r="J292" s="240"/>
    </row>
    <row r="293" spans="1:10" ht="52.8" x14ac:dyDescent="0.25">
      <c r="A293" s="214" t="str">
        <f>ORÇAMENTO!A80</f>
        <v>10.6</v>
      </c>
      <c r="B293" s="219" t="str">
        <f>ORÇAMENTO!C80</f>
        <v>Caixas de inspeção de alv. blocos concreto 9x19x39cm, dim, 60x60cm e Hmáx = 1m, com tampa de conc. esp. 5cm, lastro de conc. esp. 10cm, revest intern. c/ chapisco e reboco impermeabilizado, incl. escavação, reaterro e enchimento</v>
      </c>
      <c r="C293" s="215"/>
      <c r="D293" s="214">
        <v>3</v>
      </c>
      <c r="E293" s="214"/>
      <c r="F293" s="221"/>
      <c r="G293" s="214"/>
      <c r="H293" s="221"/>
      <c r="I293" s="214"/>
      <c r="J293" s="240">
        <f>D293</f>
        <v>3</v>
      </c>
    </row>
    <row r="294" spans="1:10" x14ac:dyDescent="0.25">
      <c r="A294" s="214"/>
      <c r="B294" s="219"/>
      <c r="C294" s="215"/>
      <c r="D294" s="214"/>
      <c r="E294" s="214"/>
      <c r="F294" s="221"/>
      <c r="G294" s="214"/>
      <c r="H294" s="221"/>
      <c r="I294" s="214"/>
      <c r="J294" s="214"/>
    </row>
    <row r="295" spans="1:10" ht="26.4" x14ac:dyDescent="0.25">
      <c r="A295" s="214" t="str">
        <f>ORÇAMENTO!A81</f>
        <v>10.7</v>
      </c>
      <c r="B295" s="219" t="str">
        <f>ORÇAMENTO!C81</f>
        <v>Tubo de PVC rígido soldável marrom, diâm. 20mm (1/2"), inclusive conexões</v>
      </c>
      <c r="C295" s="243"/>
      <c r="D295" s="214">
        <v>3</v>
      </c>
      <c r="E295" s="214"/>
      <c r="F295" s="221"/>
      <c r="G295" s="214"/>
      <c r="H295" s="221"/>
      <c r="I295" s="214"/>
      <c r="J295" s="240">
        <f>D295</f>
        <v>3</v>
      </c>
    </row>
    <row r="296" spans="1:10" x14ac:dyDescent="0.25">
      <c r="A296" s="214"/>
      <c r="B296" s="219"/>
      <c r="C296" s="243"/>
      <c r="D296" s="214"/>
      <c r="E296" s="214"/>
      <c r="F296" s="221"/>
      <c r="G296" s="214"/>
      <c r="H296" s="221"/>
      <c r="I296" s="214"/>
      <c r="J296" s="214"/>
    </row>
    <row r="297" spans="1:10" ht="26.4" x14ac:dyDescent="0.25">
      <c r="A297" s="214" t="str">
        <f>ORÇAMENTO!A82</f>
        <v>10.8</v>
      </c>
      <c r="B297" s="219" t="str">
        <f>ORÇAMENTO!C82</f>
        <v>Tubo de PVC rígido soldável marrom, diâm. 25mm (3/4"), inclusive conexões</v>
      </c>
      <c r="C297" s="242"/>
      <c r="D297" s="214">
        <v>4</v>
      </c>
      <c r="E297" s="214"/>
      <c r="F297" s="221"/>
      <c r="G297" s="214"/>
      <c r="H297" s="221"/>
      <c r="I297" s="214"/>
      <c r="J297" s="240">
        <f>D297</f>
        <v>4</v>
      </c>
    </row>
    <row r="298" spans="1:10" x14ac:dyDescent="0.25">
      <c r="A298" s="214"/>
      <c r="B298" s="219"/>
      <c r="C298" s="242"/>
      <c r="D298" s="214"/>
      <c r="E298" s="214"/>
      <c r="F298" s="221"/>
      <c r="G298" s="214"/>
      <c r="H298" s="221"/>
      <c r="I298" s="214"/>
      <c r="J298" s="239"/>
    </row>
    <row r="299" spans="1:10" ht="26.4" x14ac:dyDescent="0.25">
      <c r="A299" s="214" t="str">
        <f>ORÇAMENTO!A83</f>
        <v>10.9</v>
      </c>
      <c r="B299" s="219" t="str">
        <f>ORÇAMENTO!C83</f>
        <v>Tubo de PVC rígido soldável branco, para esgoto, diâmetro 40mm (1 1/2"), inclusive conexões</v>
      </c>
      <c r="C299" s="243"/>
      <c r="D299" s="214">
        <v>1</v>
      </c>
      <c r="E299" s="214"/>
      <c r="F299" s="221"/>
      <c r="G299" s="214"/>
      <c r="H299" s="221"/>
      <c r="I299" s="214"/>
      <c r="J299" s="240">
        <f>D299</f>
        <v>1</v>
      </c>
    </row>
    <row r="300" spans="1:10" x14ac:dyDescent="0.25">
      <c r="A300" s="214"/>
      <c r="B300" s="219"/>
      <c r="C300" s="243"/>
      <c r="D300" s="214"/>
      <c r="E300" s="214"/>
      <c r="F300" s="221"/>
      <c r="G300" s="214"/>
      <c r="H300" s="221"/>
      <c r="I300" s="214"/>
      <c r="J300" s="239"/>
    </row>
    <row r="301" spans="1:10" ht="26.4" x14ac:dyDescent="0.25">
      <c r="A301" s="214" t="str">
        <f>ORÇAMENTO!A84</f>
        <v>10.10</v>
      </c>
      <c r="B301" s="219" t="str">
        <f>ORÇAMENTO!C84</f>
        <v>Tubo de PVC rígido soldável branco, para esgoto, diâmetro 50mm (2"), inclusive conexões</v>
      </c>
      <c r="C301" s="242"/>
      <c r="D301" s="214">
        <v>1</v>
      </c>
      <c r="E301" s="214"/>
      <c r="F301" s="221"/>
      <c r="G301" s="214"/>
      <c r="H301" s="221"/>
      <c r="I301" s="214"/>
      <c r="J301" s="240">
        <v>1</v>
      </c>
    </row>
    <row r="302" spans="1:10" x14ac:dyDescent="0.25">
      <c r="A302" s="214"/>
      <c r="B302" s="219"/>
      <c r="C302" s="242"/>
      <c r="D302" s="214"/>
      <c r="E302" s="214"/>
      <c r="F302" s="221"/>
      <c r="G302" s="214"/>
      <c r="H302" s="221"/>
      <c r="I302" s="214"/>
      <c r="J302" s="239"/>
    </row>
    <row r="303" spans="1:10" ht="26.4" x14ac:dyDescent="0.25">
      <c r="A303" s="214" t="str">
        <f>ORÇAMENTO!A85</f>
        <v>10.11</v>
      </c>
      <c r="B303" s="219" t="str">
        <f>ORÇAMENTO!C85</f>
        <v>Tubo de PVC rígido soldável branco, para esgoto, diâmetro 100mm (4"), inclusive conexões</v>
      </c>
      <c r="C303" s="243"/>
      <c r="D303" s="214">
        <v>7</v>
      </c>
      <c r="E303" s="214"/>
      <c r="F303" s="221"/>
      <c r="G303" s="214"/>
      <c r="H303" s="221"/>
      <c r="I303" s="214"/>
      <c r="J303" s="240">
        <f>D303</f>
        <v>7</v>
      </c>
    </row>
    <row r="304" spans="1:10" x14ac:dyDescent="0.25">
      <c r="A304" s="214"/>
      <c r="B304" s="219"/>
      <c r="C304" s="243"/>
      <c r="D304" s="214"/>
      <c r="E304" s="214"/>
      <c r="F304" s="221"/>
      <c r="G304" s="214"/>
      <c r="H304" s="221"/>
      <c r="I304" s="214"/>
      <c r="J304" s="240"/>
    </row>
    <row r="305" spans="1:10" s="213" customFormat="1" x14ac:dyDescent="0.25">
      <c r="A305" s="216">
        <f>ORÇAMENTO!A87</f>
        <v>11</v>
      </c>
      <c r="B305" s="217" t="str">
        <f>ORÇAMENTO!C87</f>
        <v>INSTALAÇÕES ELETRICA</v>
      </c>
      <c r="C305" s="217"/>
      <c r="D305" s="216"/>
      <c r="E305" s="216"/>
      <c r="F305" s="244"/>
      <c r="G305" s="216"/>
      <c r="H305" s="244"/>
      <c r="I305" s="216"/>
      <c r="J305" s="216"/>
    </row>
    <row r="306" spans="1:10" ht="26.4" x14ac:dyDescent="0.25">
      <c r="A306" s="214" t="str">
        <f>ORÇAMENTO!A88</f>
        <v>11.1</v>
      </c>
      <c r="B306" s="219" t="str">
        <f>ORÇAMENTO!C88</f>
        <v>Quadro de distribuição em PVC para 06 circuitos, inclusive 4 disjuntores monopolares de 15A</v>
      </c>
      <c r="C306" s="214"/>
      <c r="D306" s="214">
        <v>1</v>
      </c>
      <c r="E306" s="214"/>
      <c r="F306" s="221"/>
      <c r="G306" s="214"/>
      <c r="H306" s="221"/>
      <c r="I306" s="214"/>
      <c r="J306" s="239">
        <f>D306</f>
        <v>1</v>
      </c>
    </row>
    <row r="307" spans="1:10" x14ac:dyDescent="0.25">
      <c r="A307" s="214"/>
      <c r="B307" s="219"/>
      <c r="C307" s="214"/>
      <c r="D307" s="214"/>
      <c r="E307" s="214"/>
      <c r="F307" s="221"/>
      <c r="G307" s="214"/>
      <c r="H307" s="221"/>
      <c r="I307" s="214"/>
      <c r="J307" s="239"/>
    </row>
    <row r="308" spans="1:10" ht="26.4" x14ac:dyDescent="0.25">
      <c r="A308" s="214" t="str">
        <f>ORÇAMENTO!A89</f>
        <v>11.2</v>
      </c>
      <c r="B308" s="219" t="str">
        <f>ORÇAMENTO!C89</f>
        <v>Quadro de distribuição de energia em PVC, de embutir, com 12 divisões modulares com barramento</v>
      </c>
      <c r="C308" s="214"/>
      <c r="D308" s="214">
        <v>1</v>
      </c>
      <c r="E308" s="214"/>
      <c r="F308" s="221"/>
      <c r="G308" s="214"/>
      <c r="H308" s="221"/>
      <c r="I308" s="214"/>
      <c r="J308" s="239">
        <f>D308</f>
        <v>1</v>
      </c>
    </row>
    <row r="309" spans="1:10" x14ac:dyDescent="0.25">
      <c r="A309" s="214"/>
      <c r="B309" s="219"/>
      <c r="C309" s="214"/>
      <c r="D309" s="214"/>
      <c r="E309" s="214"/>
      <c r="F309" s="221"/>
      <c r="G309" s="214"/>
      <c r="H309" s="221"/>
      <c r="I309" s="214"/>
      <c r="J309" s="239"/>
    </row>
    <row r="310" spans="1:10" ht="26.4" x14ac:dyDescent="0.25">
      <c r="A310" s="214" t="str">
        <f>ORÇAMENTO!A90</f>
        <v>11.3</v>
      </c>
      <c r="B310" s="219" t="str">
        <f>ORÇAMENTO!C90</f>
        <v>Mini-Disjuntor monopolar 16 A, curva C - 5KA 220/127VCA (NBR IEC 60947-2), Ref. Siemens, GE, Schneider ou equivalente</v>
      </c>
      <c r="C310" s="214"/>
      <c r="D310" s="214">
        <v>4</v>
      </c>
      <c r="E310" s="214"/>
      <c r="F310" s="221"/>
      <c r="G310" s="214"/>
      <c r="H310" s="221"/>
      <c r="I310" s="214"/>
      <c r="J310" s="239">
        <f>D310</f>
        <v>4</v>
      </c>
    </row>
    <row r="311" spans="1:10" x14ac:dyDescent="0.25">
      <c r="A311" s="214"/>
      <c r="B311" s="219"/>
      <c r="C311" s="214"/>
      <c r="D311" s="214"/>
      <c r="E311" s="214"/>
      <c r="F311" s="221"/>
      <c r="G311" s="214"/>
      <c r="H311" s="221"/>
      <c r="I311" s="214"/>
      <c r="J311" s="239"/>
    </row>
    <row r="312" spans="1:10" ht="26.4" x14ac:dyDescent="0.25">
      <c r="A312" s="214" t="str">
        <f>ORÇAMENTO!A91</f>
        <v>11.4</v>
      </c>
      <c r="B312" s="219" t="str">
        <f>ORÇAMENTO!C91</f>
        <v>Mini-Disjuntor bipolar 16 A, curva C - 5KA 220/127VCA (NBR IEC 60947-2), Ref. Siemens, GE, Schneider ou equivalente</v>
      </c>
      <c r="C312" s="214"/>
      <c r="D312" s="214">
        <v>10</v>
      </c>
      <c r="E312" s="214"/>
      <c r="F312" s="221"/>
      <c r="G312" s="214"/>
      <c r="H312" s="221"/>
      <c r="I312" s="214"/>
      <c r="J312" s="239">
        <f>D312</f>
        <v>10</v>
      </c>
    </row>
    <row r="313" spans="1:10" x14ac:dyDescent="0.25">
      <c r="A313" s="214"/>
      <c r="B313" s="219"/>
      <c r="C313" s="214"/>
      <c r="D313" s="214"/>
      <c r="E313" s="214"/>
      <c r="F313" s="221"/>
      <c r="G313" s="214"/>
      <c r="H313" s="221"/>
      <c r="I313" s="214"/>
      <c r="J313" s="239"/>
    </row>
    <row r="314" spans="1:10" ht="26.4" x14ac:dyDescent="0.25">
      <c r="A314" s="214" t="str">
        <f>ORÇAMENTO!A92</f>
        <v>11.5</v>
      </c>
      <c r="B314" s="219" t="str">
        <f>ORÇAMENTO!C92</f>
        <v>Mini-Disjuntor bipolar 32 A, curva C - 5KA 220/127VCA (NBR IEC 60947-2), Ref. Siemens, GE, Schneider ou equivalente</v>
      </c>
      <c r="C314" s="214"/>
      <c r="D314" s="214">
        <v>1</v>
      </c>
      <c r="E314" s="214"/>
      <c r="F314" s="221"/>
      <c r="G314" s="214"/>
      <c r="H314" s="221"/>
      <c r="I314" s="214"/>
      <c r="J314" s="239">
        <f>D314</f>
        <v>1</v>
      </c>
    </row>
    <row r="315" spans="1:10" x14ac:dyDescent="0.25">
      <c r="A315" s="214"/>
      <c r="B315" s="219"/>
      <c r="C315" s="214"/>
      <c r="D315" s="214"/>
      <c r="E315" s="214"/>
      <c r="F315" s="221"/>
      <c r="G315" s="214"/>
      <c r="H315" s="221"/>
      <c r="I315" s="214"/>
      <c r="J315" s="239"/>
    </row>
    <row r="316" spans="1:10" ht="39.6" x14ac:dyDescent="0.25">
      <c r="A316" s="214" t="str">
        <f>ORÇAMENTO!A93</f>
        <v>11.6</v>
      </c>
      <c r="B316" s="219" t="str">
        <f>ORÇAMENTO!C93</f>
        <v>Ponto padrão de luz no teto - considerando eletroduto PVC rígido de 3/4" inclusive conexões (4.5m), fio isolado PVC de 2.5mm2 (16.2m) e caixa estampada 4x4" (1 und)</v>
      </c>
      <c r="C316" s="214"/>
      <c r="D316" s="214">
        <v>25</v>
      </c>
      <c r="E316" s="214"/>
      <c r="F316" s="221"/>
      <c r="G316" s="214"/>
      <c r="H316" s="221"/>
      <c r="I316" s="214"/>
      <c r="J316" s="239">
        <f>D316</f>
        <v>25</v>
      </c>
    </row>
    <row r="317" spans="1:10" x14ac:dyDescent="0.25">
      <c r="A317" s="214"/>
      <c r="B317" s="219"/>
      <c r="C317" s="214"/>
      <c r="D317" s="214"/>
      <c r="E317" s="214"/>
      <c r="F317" s="221"/>
      <c r="G317" s="214"/>
      <c r="H317" s="221"/>
      <c r="I317" s="214"/>
      <c r="J317" s="239"/>
    </row>
    <row r="318" spans="1:10" ht="39.6" x14ac:dyDescent="0.25">
      <c r="A318" s="214" t="str">
        <f>ORÇAMENTO!A94</f>
        <v>11.7</v>
      </c>
      <c r="B318" s="219" t="str">
        <f>ORÇAMENTO!C94</f>
        <v>Ponto padrão de tomada 2 pólos mais terra - considerando eletroduto PVC rígido de 3/4" inclusive conexões (5.0m), fio isolado PVC de 2.5mm2 (16.5m) e caixa pvc 4x2" (1 und)</v>
      </c>
      <c r="C318" s="214"/>
      <c r="D318" s="214">
        <v>26</v>
      </c>
      <c r="E318" s="214"/>
      <c r="F318" s="221"/>
      <c r="G318" s="214"/>
      <c r="H318" s="221"/>
      <c r="I318" s="214"/>
      <c r="J318" s="239">
        <f>D318</f>
        <v>26</v>
      </c>
    </row>
    <row r="319" spans="1:10" x14ac:dyDescent="0.25">
      <c r="A319" s="214"/>
      <c r="B319" s="219"/>
      <c r="C319" s="214"/>
      <c r="D319" s="214"/>
      <c r="E319" s="214"/>
      <c r="F319" s="221"/>
      <c r="G319" s="214"/>
      <c r="H319" s="221"/>
      <c r="I319" s="214"/>
      <c r="J319" s="239"/>
    </row>
    <row r="320" spans="1:10" ht="39.6" x14ac:dyDescent="0.25">
      <c r="A320" s="214" t="str">
        <f>ORÇAMENTO!A95</f>
        <v>11.8</v>
      </c>
      <c r="B320" s="219" t="str">
        <f>ORÇAMENTO!C95</f>
        <v>Ponto padrão de tomada para ar refrigerado - considerando eletroduto PVC rígido de 3/4" inclusive conexões (6.0m), fio isolado PVC de 4.0mm2 (21.6m) e caixa PVC 4x2" (1 und)</v>
      </c>
      <c r="C320" s="243"/>
      <c r="D320" s="214">
        <v>11</v>
      </c>
      <c r="E320" s="214"/>
      <c r="F320" s="221"/>
      <c r="G320" s="214"/>
      <c r="H320" s="221"/>
      <c r="I320" s="214"/>
      <c r="J320" s="239">
        <f>D320</f>
        <v>11</v>
      </c>
    </row>
    <row r="321" spans="1:10" x14ac:dyDescent="0.25">
      <c r="A321" s="214"/>
      <c r="B321" s="219"/>
      <c r="C321" s="243"/>
      <c r="D321" s="214"/>
      <c r="E321" s="214"/>
      <c r="F321" s="221"/>
      <c r="G321" s="214"/>
      <c r="H321" s="221"/>
      <c r="I321" s="214"/>
      <c r="J321" s="239"/>
    </row>
    <row r="322" spans="1:10" ht="52.8" x14ac:dyDescent="0.25">
      <c r="A322" s="214" t="str">
        <f>ORÇAMENTO!A96</f>
        <v>11.9</v>
      </c>
      <c r="B322" s="219" t="str">
        <f>ORÇAMENTO!C96</f>
        <v>Ponto padrão de interruptor de 1 tecla simples e 1 tomada dois pólos mais terra 10A/250V - considerando eletroduto PVC rígido de 3/4" inclusive conexões (4.5m), fio isolado PVC de 2.5mm2 (19.4m) e caixa PVC 4x2" (1 und)</v>
      </c>
      <c r="C322" s="242"/>
      <c r="D322" s="214">
        <v>18</v>
      </c>
      <c r="E322" s="214"/>
      <c r="F322" s="221"/>
      <c r="G322" s="214"/>
      <c r="H322" s="221"/>
      <c r="I322" s="214"/>
      <c r="J322" s="239">
        <f>D322</f>
        <v>18</v>
      </c>
    </row>
    <row r="323" spans="1:10" x14ac:dyDescent="0.25">
      <c r="A323" s="214"/>
      <c r="B323" s="219"/>
      <c r="C323" s="242"/>
      <c r="D323" s="214"/>
      <c r="E323" s="214"/>
      <c r="F323" s="221"/>
      <c r="G323" s="214"/>
      <c r="H323" s="221"/>
      <c r="I323" s="214"/>
      <c r="J323" s="239"/>
    </row>
    <row r="324" spans="1:10" s="213" customFormat="1" x14ac:dyDescent="0.25">
      <c r="A324" s="216">
        <f>ORÇAMENTO!A98</f>
        <v>12</v>
      </c>
      <c r="B324" s="332" t="str">
        <f>ORÇAMENTO!C98</f>
        <v>APARELHOS HIDRO-SANITÁRIOS</v>
      </c>
      <c r="C324" s="333"/>
      <c r="D324" s="216"/>
      <c r="E324" s="216"/>
      <c r="F324" s="244"/>
      <c r="G324" s="216"/>
      <c r="H324" s="244"/>
      <c r="I324" s="216"/>
      <c r="J324" s="216"/>
    </row>
    <row r="325" spans="1:10" ht="26.4" x14ac:dyDescent="0.25">
      <c r="A325" s="214" t="str">
        <f>ORÇAMENTO!A99</f>
        <v>12.1</v>
      </c>
      <c r="B325" s="219" t="str">
        <f>ORÇAMENTO!C99</f>
        <v>Papeleira de louça branca, 15x15cm, marcas de referência Deca, Celite ou Ideal Standard.</v>
      </c>
      <c r="C325" s="242"/>
      <c r="D325" s="214">
        <v>3</v>
      </c>
      <c r="E325" s="214"/>
      <c r="F325" s="221"/>
      <c r="G325" s="214"/>
      <c r="H325" s="221"/>
      <c r="I325" s="214"/>
      <c r="J325" s="240">
        <f>D325</f>
        <v>3</v>
      </c>
    </row>
    <row r="326" spans="1:10" x14ac:dyDescent="0.25">
      <c r="A326" s="214"/>
      <c r="B326" s="219"/>
      <c r="C326" s="242"/>
      <c r="D326" s="214"/>
      <c r="E326" s="214"/>
      <c r="F326" s="221"/>
      <c r="G326" s="214"/>
      <c r="H326" s="221"/>
      <c r="I326" s="214"/>
      <c r="J326" s="240"/>
    </row>
    <row r="327" spans="1:10" ht="39.6" x14ac:dyDescent="0.25">
      <c r="A327" s="214" t="str">
        <f>ORÇAMENTO!A100</f>
        <v>12.2</v>
      </c>
      <c r="B327" s="219" t="str">
        <f>ORÇAMENTO!C100</f>
        <v>Vaso sanitário padrão popular completo com acessórios para ligação, marcas de referência Deca, Celite ou Ideal Standard, inclusive assento plástico</v>
      </c>
      <c r="C327" s="243"/>
      <c r="D327" s="214">
        <v>3</v>
      </c>
      <c r="E327" s="214"/>
      <c r="F327" s="221"/>
      <c r="G327" s="214"/>
      <c r="H327" s="221"/>
      <c r="I327" s="214"/>
      <c r="J327" s="240">
        <f t="shared" ref="J327:J341" si="5">D327</f>
        <v>3</v>
      </c>
    </row>
    <row r="328" spans="1:10" x14ac:dyDescent="0.25">
      <c r="A328" s="214"/>
      <c r="B328" s="219"/>
      <c r="C328" s="243"/>
      <c r="D328" s="214"/>
      <c r="E328" s="214"/>
      <c r="F328" s="221"/>
      <c r="G328" s="214"/>
      <c r="H328" s="221"/>
      <c r="I328" s="214"/>
      <c r="J328" s="240"/>
    </row>
    <row r="329" spans="1:10" ht="39.6" x14ac:dyDescent="0.25">
      <c r="A329" s="214" t="str">
        <f>ORÇAMENTO!A101</f>
        <v>12.3</v>
      </c>
      <c r="B329" s="219" t="str">
        <f>ORÇAMENTO!C101</f>
        <v>Cuba louça de embutir redonda, 30cm, L-41, completa, marcas de referência Deca, Celite ou Ideal Standard, incl. válvula e sifão, exclusive torneira</v>
      </c>
      <c r="C329" s="214"/>
      <c r="D329" s="214">
        <v>3</v>
      </c>
      <c r="E329" s="214"/>
      <c r="F329" s="221"/>
      <c r="G329" s="214"/>
      <c r="H329" s="221"/>
      <c r="I329" s="214"/>
      <c r="J329" s="240">
        <f t="shared" si="5"/>
        <v>3</v>
      </c>
    </row>
    <row r="330" spans="1:10" x14ac:dyDescent="0.25">
      <c r="A330" s="214"/>
      <c r="B330" s="219"/>
      <c r="C330" s="214"/>
      <c r="D330" s="214"/>
      <c r="E330" s="214"/>
      <c r="F330" s="221"/>
      <c r="G330" s="214"/>
      <c r="H330" s="221"/>
      <c r="I330" s="214"/>
      <c r="J330" s="240"/>
    </row>
    <row r="331" spans="1:10" ht="26.4" x14ac:dyDescent="0.25">
      <c r="A331" s="214" t="str">
        <f>ORÇAMENTO!A102</f>
        <v>12.4</v>
      </c>
      <c r="B331" s="219" t="str">
        <f>ORÇAMENTO!C102</f>
        <v>Saboneteira de louça branca de 7,5 x 15 cm, marcas de referência Deca, Celite ou Ideal Standard</v>
      </c>
      <c r="C331" s="243"/>
      <c r="D331" s="214">
        <v>3</v>
      </c>
      <c r="E331" s="214"/>
      <c r="F331" s="221"/>
      <c r="G331" s="214"/>
      <c r="H331" s="221"/>
      <c r="I331" s="214"/>
      <c r="J331" s="240">
        <f t="shared" si="5"/>
        <v>3</v>
      </c>
    </row>
    <row r="332" spans="1:10" x14ac:dyDescent="0.25">
      <c r="A332" s="214"/>
      <c r="B332" s="219"/>
      <c r="C332" s="243"/>
      <c r="D332" s="214"/>
      <c r="E332" s="214"/>
      <c r="F332" s="221"/>
      <c r="G332" s="214"/>
      <c r="H332" s="221"/>
      <c r="I332" s="214"/>
      <c r="J332" s="240"/>
    </row>
    <row r="333" spans="1:10" ht="26.4" x14ac:dyDescent="0.25">
      <c r="A333" s="214" t="str">
        <f>ORÇAMENTO!A103</f>
        <v>12.5</v>
      </c>
      <c r="B333" s="219" t="str">
        <f>ORÇAMENTO!C103</f>
        <v>Cabide de louça branca com um gancho, marcas de referência Deca, Celite ou Ideal Standard</v>
      </c>
      <c r="C333" s="242"/>
      <c r="D333" s="214">
        <v>3</v>
      </c>
      <c r="E333" s="214"/>
      <c r="F333" s="221"/>
      <c r="G333" s="214"/>
      <c r="H333" s="221"/>
      <c r="I333" s="214"/>
      <c r="J333" s="240">
        <f t="shared" si="5"/>
        <v>3</v>
      </c>
    </row>
    <row r="334" spans="1:10" x14ac:dyDescent="0.25">
      <c r="A334" s="214"/>
      <c r="B334" s="219"/>
      <c r="C334" s="242"/>
      <c r="D334" s="214"/>
      <c r="E334" s="214"/>
      <c r="F334" s="221"/>
      <c r="G334" s="214"/>
      <c r="H334" s="221"/>
      <c r="I334" s="214"/>
      <c r="J334" s="240"/>
    </row>
    <row r="335" spans="1:10" x14ac:dyDescent="0.25">
      <c r="A335" s="214" t="str">
        <f>ORÇAMENTO!A104</f>
        <v>12.6</v>
      </c>
      <c r="B335" s="219" t="str">
        <f>ORÇAMENTO!C104</f>
        <v>Bancada de mármore esp. 3cm</v>
      </c>
      <c r="C335" s="243"/>
      <c r="D335" s="214">
        <v>2</v>
      </c>
      <c r="E335" s="214"/>
      <c r="F335" s="221"/>
      <c r="G335" s="214"/>
      <c r="H335" s="221"/>
      <c r="I335" s="214"/>
      <c r="J335" s="240">
        <f t="shared" si="5"/>
        <v>2</v>
      </c>
    </row>
    <row r="336" spans="1:10" x14ac:dyDescent="0.25">
      <c r="A336" s="214"/>
      <c r="B336" s="219"/>
      <c r="C336" s="243"/>
      <c r="D336" s="214"/>
      <c r="E336" s="214"/>
      <c r="F336" s="221"/>
      <c r="G336" s="214"/>
      <c r="H336" s="221"/>
      <c r="I336" s="214"/>
      <c r="J336" s="240"/>
    </row>
    <row r="337" spans="1:10" ht="26.4" x14ac:dyDescent="0.25">
      <c r="A337" s="214" t="str">
        <f>ORÇAMENTO!A105</f>
        <v>12.7</v>
      </c>
      <c r="B337" s="219" t="str">
        <f>ORÇAMENTO!C105</f>
        <v>Torneira pressão cromada diâm. 1/2" para lavatório, marcas de referência Fabrimar, Deca ou Docol</v>
      </c>
      <c r="C337" s="242"/>
      <c r="D337" s="214">
        <v>2</v>
      </c>
      <c r="E337" s="214"/>
      <c r="F337" s="221"/>
      <c r="G337" s="214"/>
      <c r="H337" s="221"/>
      <c r="I337" s="214"/>
      <c r="J337" s="240">
        <f t="shared" si="5"/>
        <v>2</v>
      </c>
    </row>
    <row r="338" spans="1:10" x14ac:dyDescent="0.25">
      <c r="A338" s="214"/>
      <c r="B338" s="219"/>
      <c r="C338" s="242"/>
      <c r="D338" s="214"/>
      <c r="E338" s="214"/>
      <c r="F338" s="221"/>
      <c r="G338" s="214"/>
      <c r="H338" s="221"/>
      <c r="I338" s="214"/>
      <c r="J338" s="240"/>
    </row>
    <row r="339" spans="1:10" x14ac:dyDescent="0.25">
      <c r="A339" s="214" t="str">
        <f>ORÇAMENTO!A106</f>
        <v>12.8</v>
      </c>
      <c r="B339" s="219" t="str">
        <f>ORÇAMENTO!C106</f>
        <v>Registro de gaveta bruto diam. 20mm (3/4")</v>
      </c>
      <c r="C339" s="214"/>
      <c r="D339" s="214">
        <v>2</v>
      </c>
      <c r="E339" s="214"/>
      <c r="F339" s="221"/>
      <c r="G339" s="214"/>
      <c r="H339" s="221"/>
      <c r="I339" s="214"/>
      <c r="J339" s="240">
        <f t="shared" si="5"/>
        <v>2</v>
      </c>
    </row>
    <row r="340" spans="1:10" x14ac:dyDescent="0.25">
      <c r="A340" s="214"/>
      <c r="B340" s="219"/>
      <c r="C340" s="214"/>
      <c r="D340" s="214"/>
      <c r="E340" s="214"/>
      <c r="F340" s="221"/>
      <c r="G340" s="214"/>
      <c r="H340" s="221"/>
      <c r="I340" s="214"/>
      <c r="J340" s="240"/>
    </row>
    <row r="341" spans="1:10" ht="26.4" x14ac:dyDescent="0.25">
      <c r="A341" s="214" t="str">
        <f>ORÇAMENTO!A107</f>
        <v>12.9</v>
      </c>
      <c r="B341" s="219" t="str">
        <f>ORÇAMENTO!C107</f>
        <v>Reservatório de polietileno de 500 L, inclusive adaptadores com flanges de PVC e torneira de bóia de 3/4"</v>
      </c>
      <c r="C341" s="243"/>
      <c r="D341" s="214">
        <v>1</v>
      </c>
      <c r="E341" s="214"/>
      <c r="F341" s="221"/>
      <c r="G341" s="214"/>
      <c r="H341" s="221"/>
      <c r="I341" s="214"/>
      <c r="J341" s="240">
        <f t="shared" si="5"/>
        <v>1</v>
      </c>
    </row>
    <row r="342" spans="1:10" x14ac:dyDescent="0.25">
      <c r="A342" s="214"/>
      <c r="B342" s="219"/>
      <c r="C342" s="243"/>
      <c r="D342" s="214"/>
      <c r="E342" s="214"/>
      <c r="F342" s="221"/>
      <c r="G342" s="214"/>
      <c r="H342" s="221"/>
      <c r="I342" s="214"/>
      <c r="J342" s="240"/>
    </row>
    <row r="343" spans="1:10" s="213" customFormat="1" x14ac:dyDescent="0.25">
      <c r="A343" s="216">
        <f>ORÇAMENTO!A109</f>
        <v>13</v>
      </c>
      <c r="B343" s="332" t="str">
        <f>ORÇAMENTO!C109</f>
        <v>APARELHOS ELÉTRICOS</v>
      </c>
      <c r="C343" s="334"/>
      <c r="D343" s="216"/>
      <c r="E343" s="216"/>
      <c r="F343" s="244"/>
      <c r="G343" s="216"/>
      <c r="H343" s="244"/>
      <c r="I343" s="216"/>
      <c r="J343" s="216"/>
    </row>
    <row r="344" spans="1:10" ht="39.6" x14ac:dyDescent="0.25">
      <c r="A344" s="214" t="str">
        <f>ORÇAMENTO!A110</f>
        <v>13.1</v>
      </c>
      <c r="B344" s="219" t="str">
        <f>ORÇAMENTO!C110</f>
        <v>Luminária para uma lâmpada fluorescente 40W, completa, c/ reator simples-127V partida rápida alto fator de potência, soquete antivibratório e lâmpada fluorescente 40W-127V</v>
      </c>
      <c r="C344" s="242"/>
      <c r="D344" s="214">
        <f>J316</f>
        <v>25</v>
      </c>
      <c r="E344" s="214"/>
      <c r="F344" s="221"/>
      <c r="G344" s="214"/>
      <c r="H344" s="221"/>
      <c r="I344" s="214"/>
      <c r="J344" s="239">
        <f>D344</f>
        <v>25</v>
      </c>
    </row>
    <row r="345" spans="1:10" x14ac:dyDescent="0.25">
      <c r="A345" s="214"/>
      <c r="B345" s="219"/>
      <c r="C345" s="242"/>
      <c r="D345" s="214"/>
      <c r="E345" s="214"/>
      <c r="F345" s="221"/>
      <c r="G345" s="214"/>
      <c r="H345" s="221"/>
      <c r="I345" s="214"/>
      <c r="J345" s="239"/>
    </row>
    <row r="346" spans="1:10" ht="26.4" x14ac:dyDescent="0.25">
      <c r="A346" s="214" t="str">
        <f>ORÇAMENTO!A111</f>
        <v>13.2</v>
      </c>
      <c r="B346" s="219" t="str">
        <f>ORÇAMENTO!C111</f>
        <v>Tomada padrão brasileiro linha branca, NBR 14136 2 polos + terra 10A/250V, com placa 4x2"</v>
      </c>
      <c r="C346" s="243"/>
      <c r="D346" s="214">
        <f>J318</f>
        <v>26</v>
      </c>
      <c r="E346" s="214"/>
      <c r="F346" s="221"/>
      <c r="G346" s="214"/>
      <c r="H346" s="221"/>
      <c r="I346" s="214"/>
      <c r="J346" s="239">
        <f t="shared" ref="J346:J354" si="6">D346</f>
        <v>26</v>
      </c>
    </row>
    <row r="347" spans="1:10" x14ac:dyDescent="0.25">
      <c r="A347" s="214"/>
      <c r="B347" s="219"/>
      <c r="C347" s="243"/>
      <c r="D347" s="214"/>
      <c r="E347" s="214"/>
      <c r="F347" s="221"/>
      <c r="G347" s="214"/>
      <c r="H347" s="221"/>
      <c r="I347" s="214"/>
      <c r="J347" s="239"/>
    </row>
    <row r="348" spans="1:10" ht="26.4" x14ac:dyDescent="0.25">
      <c r="A348" s="214" t="str">
        <f>ORÇAMENTO!A112</f>
        <v>13.3</v>
      </c>
      <c r="B348" s="219" t="str">
        <f>ORÇAMENTO!C112</f>
        <v>Tomada padrão brasileiro linha branca, NBR 14136 2 polos + terra 20A/250V, com placa 4x2"</v>
      </c>
      <c r="C348" s="214"/>
      <c r="D348" s="214">
        <f>J320</f>
        <v>11</v>
      </c>
      <c r="E348" s="214"/>
      <c r="F348" s="221"/>
      <c r="G348" s="214"/>
      <c r="H348" s="221"/>
      <c r="I348" s="214"/>
      <c r="J348" s="239">
        <f t="shared" si="6"/>
        <v>11</v>
      </c>
    </row>
    <row r="349" spans="1:10" x14ac:dyDescent="0.25">
      <c r="A349" s="214"/>
      <c r="B349" s="219"/>
      <c r="C349" s="214"/>
      <c r="D349" s="214"/>
      <c r="E349" s="214"/>
      <c r="F349" s="221"/>
      <c r="G349" s="214"/>
      <c r="H349" s="221"/>
      <c r="I349" s="214"/>
      <c r="J349" s="239"/>
    </row>
    <row r="350" spans="1:10" ht="39.6" x14ac:dyDescent="0.25">
      <c r="A350" s="214" t="str">
        <f>ORÇAMENTO!A113</f>
        <v>13.4</v>
      </c>
      <c r="B350" s="219" t="str">
        <f>ORÇAMENTO!C113</f>
        <v>Interruptor de uma tecla simples 10A/250V e uma tomada 3 polos 10A/250V, padrão brasileiro, NBR 14136, linha branca, com placa 4x2"</v>
      </c>
      <c r="C350" s="214"/>
      <c r="D350" s="214">
        <f>J322</f>
        <v>18</v>
      </c>
      <c r="E350" s="214"/>
      <c r="F350" s="221"/>
      <c r="G350" s="214"/>
      <c r="H350" s="221"/>
      <c r="I350" s="214"/>
      <c r="J350" s="239">
        <f t="shared" si="6"/>
        <v>18</v>
      </c>
    </row>
    <row r="351" spans="1:10" x14ac:dyDescent="0.25">
      <c r="A351" s="214"/>
      <c r="B351" s="219"/>
      <c r="C351" s="214"/>
      <c r="D351" s="214"/>
      <c r="E351" s="214"/>
      <c r="F351" s="221"/>
      <c r="G351" s="214"/>
      <c r="H351" s="221"/>
      <c r="I351" s="214"/>
      <c r="J351" s="239"/>
    </row>
    <row r="352" spans="1:10" ht="39.6" x14ac:dyDescent="0.25">
      <c r="A352" s="214" t="str">
        <f>ORÇAMENTO!A114</f>
        <v>13.5</v>
      </c>
      <c r="B352" s="219" t="str">
        <f>ORÇAMENTO!C114</f>
        <v>AR CONDICIONADO SPLIT ON/OFF, HI-WALL (PAREDE), 9000 BTUS/H, CICLO FRIO, 60 HZ, CLASSIFICACAO ENERGETICA A - SELO PROCEL, GAS HFC, CONTROLE S/ FIO</v>
      </c>
      <c r="C352" s="214"/>
      <c r="D352" s="214">
        <v>9</v>
      </c>
      <c r="E352" s="214"/>
      <c r="F352" s="221"/>
      <c r="G352" s="214"/>
      <c r="H352" s="221"/>
      <c r="I352" s="214"/>
      <c r="J352" s="239">
        <f t="shared" si="6"/>
        <v>9</v>
      </c>
    </row>
    <row r="353" spans="1:10" x14ac:dyDescent="0.25">
      <c r="A353" s="214"/>
      <c r="B353" s="219"/>
      <c r="C353" s="214"/>
      <c r="D353" s="214"/>
      <c r="E353" s="214"/>
      <c r="F353" s="221"/>
      <c r="G353" s="214"/>
      <c r="H353" s="221"/>
      <c r="I353" s="214"/>
      <c r="J353" s="239"/>
    </row>
    <row r="354" spans="1:10" ht="39.6" x14ac:dyDescent="0.25">
      <c r="A354" s="214" t="str">
        <f>ORÇAMENTO!A115</f>
        <v>13.6</v>
      </c>
      <c r="B354" s="219" t="str">
        <f>ORÇAMENTO!C115</f>
        <v>AR CONDICIONADO SPLIT ON/OFF, HI-WALL (PAREDE), 12000 BTUS/H, CICLO FRIO, 60 HZ, CLASSIFICACAO ENERGETICA A - SELO PROCEL, GAS HFC, CONTROLE S/ FIO</v>
      </c>
      <c r="C354" s="214"/>
      <c r="D354" s="214">
        <v>1</v>
      </c>
      <c r="E354" s="214"/>
      <c r="F354" s="221"/>
      <c r="G354" s="214"/>
      <c r="H354" s="221"/>
      <c r="I354" s="214"/>
      <c r="J354" s="239">
        <f t="shared" si="6"/>
        <v>1</v>
      </c>
    </row>
    <row r="355" spans="1:10" x14ac:dyDescent="0.25">
      <c r="A355" s="214"/>
      <c r="B355" s="219"/>
      <c r="C355" s="214"/>
      <c r="D355" s="214"/>
      <c r="E355" s="214"/>
      <c r="F355" s="221"/>
      <c r="G355" s="214"/>
      <c r="H355" s="221"/>
      <c r="I355" s="214"/>
      <c r="J355" s="239"/>
    </row>
    <row r="356" spans="1:10" s="213" customFormat="1" x14ac:dyDescent="0.25">
      <c r="A356" s="216">
        <f>ORÇAMENTO!A117</f>
        <v>14</v>
      </c>
      <c r="B356" s="335" t="str">
        <f>ORÇAMENTO!C117</f>
        <v>PINTURA</v>
      </c>
      <c r="C356" s="216"/>
      <c r="D356" s="216"/>
      <c r="E356" s="216"/>
      <c r="F356" s="244"/>
      <c r="G356" s="216"/>
      <c r="H356" s="244"/>
      <c r="I356" s="216"/>
      <c r="J356" s="216"/>
    </row>
    <row r="357" spans="1:10" ht="26.4" x14ac:dyDescent="0.25">
      <c r="A357" s="214" t="str">
        <f>ORÇAMENTO!A118</f>
        <v>14.1</v>
      </c>
      <c r="B357" s="219" t="str">
        <f>ORÇAMENTO!C118</f>
        <v>Pintura com tinta látex PVA, marcas de referência Suvinil, Coral ou Metalatex, inclusive selador, em paredes e forros, a duas demãos</v>
      </c>
      <c r="C357" s="242"/>
      <c r="D357" s="214"/>
      <c r="E357" s="214"/>
      <c r="F357" s="221"/>
      <c r="G357" s="214"/>
      <c r="H357" s="221">
        <f>J193</f>
        <v>883.9</v>
      </c>
      <c r="I357" s="214"/>
      <c r="J357" s="240">
        <f>H357</f>
        <v>883.9</v>
      </c>
    </row>
    <row r="358" spans="1:10" x14ac:dyDescent="0.25">
      <c r="A358" s="214"/>
      <c r="B358" s="219"/>
      <c r="C358" s="242"/>
      <c r="D358" s="214"/>
      <c r="E358" s="214"/>
      <c r="F358" s="221"/>
      <c r="G358" s="214"/>
      <c r="H358" s="221"/>
      <c r="I358" s="214"/>
      <c r="J358" s="240"/>
    </row>
    <row r="359" spans="1:10" ht="39.6" x14ac:dyDescent="0.25">
      <c r="A359" s="214" t="str">
        <f>ORÇAMENTO!A119</f>
        <v>14.2</v>
      </c>
      <c r="B359" s="219" t="str">
        <f>ORÇAMENTO!C119</f>
        <v>Pintura com tinta esmalte sintético, marcas de referência Suvinil, Coral ou Metalatex, a duas demãos, inclusive fundo anticorrosivo a uma demão, em metal</v>
      </c>
      <c r="C359" s="243"/>
      <c r="D359" s="214"/>
      <c r="E359" s="214"/>
      <c r="F359" s="221"/>
      <c r="G359" s="214"/>
      <c r="H359" s="221">
        <f>SUM(J140+J143)</f>
        <v>23.939999999999998</v>
      </c>
      <c r="I359" s="214"/>
      <c r="J359" s="240">
        <f>H359</f>
        <v>23.939999999999998</v>
      </c>
    </row>
    <row r="360" spans="1:10" x14ac:dyDescent="0.25">
      <c r="A360" s="214"/>
      <c r="B360" s="219"/>
      <c r="C360" s="243"/>
      <c r="D360" s="214"/>
      <c r="E360" s="214"/>
      <c r="F360" s="221"/>
      <c r="G360" s="214"/>
      <c r="H360" s="221"/>
      <c r="I360" s="214"/>
      <c r="J360" s="240"/>
    </row>
    <row r="361" spans="1:10" s="213" customFormat="1" x14ac:dyDescent="0.25">
      <c r="A361" s="216">
        <f>ORÇAMENTO!A121</f>
        <v>15</v>
      </c>
      <c r="B361" s="332" t="str">
        <f>ORÇAMENTO!C121</f>
        <v>SERVIÇOS COMPLEMENTARES</v>
      </c>
      <c r="C361" s="334"/>
      <c r="D361" s="216"/>
      <c r="E361" s="216"/>
      <c r="F361" s="244"/>
      <c r="G361" s="216"/>
      <c r="H361" s="244"/>
      <c r="I361" s="216"/>
      <c r="J361" s="216"/>
    </row>
    <row r="362" spans="1:10" ht="39.6" x14ac:dyDescent="0.25">
      <c r="A362" s="214" t="str">
        <f>ORÇAMENTO!A122</f>
        <v>15.1</v>
      </c>
      <c r="B362" s="219" t="str">
        <f>ORÇAMENTO!C122</f>
        <v>Passeio de cimentado camurçado com argamassa de cimento e areia no traço 1:3 esp. 1.5cm, e lastro de concreto com 8cm de espessura, inclusive preparo de caixa</v>
      </c>
      <c r="C362" s="214"/>
      <c r="D362" s="214"/>
      <c r="E362" s="221">
        <v>13.2</v>
      </c>
      <c r="F362" s="221">
        <v>1.55</v>
      </c>
      <c r="G362" s="214"/>
      <c r="H362" s="221">
        <f>E362*F362</f>
        <v>20.46</v>
      </c>
      <c r="I362" s="214"/>
      <c r="J362" s="240">
        <f>H362</f>
        <v>20.46</v>
      </c>
    </row>
    <row r="363" spans="1:10" x14ac:dyDescent="0.25">
      <c r="A363" s="214"/>
      <c r="B363" s="219"/>
      <c r="C363" s="214"/>
      <c r="D363" s="214"/>
      <c r="E363" s="221"/>
      <c r="F363" s="221"/>
      <c r="G363" s="214"/>
      <c r="H363" s="221"/>
      <c r="I363" s="214"/>
      <c r="J363" s="240"/>
    </row>
    <row r="364" spans="1:10" ht="26.4" x14ac:dyDescent="0.25">
      <c r="A364" s="214" t="str">
        <f>ORÇAMENTO!A123</f>
        <v>15.2</v>
      </c>
      <c r="B364" s="219" t="str">
        <f>ORÇAMENTO!C123</f>
        <v>Guarda corpo de tubo de ferro galvanizado, diâm. 3" e 2", h=0.8 m inclusive pintura a óleo ou esmalte</v>
      </c>
      <c r="C364" s="214"/>
      <c r="D364" s="214">
        <v>2</v>
      </c>
      <c r="E364" s="221">
        <v>13.2</v>
      </c>
      <c r="F364" s="221"/>
      <c r="G364" s="214"/>
      <c r="H364" s="221"/>
      <c r="I364" s="214"/>
      <c r="J364" s="239">
        <f>E364*D364</f>
        <v>26.4</v>
      </c>
    </row>
    <row r="365" spans="1:10" x14ac:dyDescent="0.25">
      <c r="A365" s="214"/>
      <c r="B365" s="219"/>
      <c r="C365" s="214"/>
      <c r="D365" s="214"/>
      <c r="E365" s="221"/>
      <c r="F365" s="221"/>
      <c r="G365" s="214"/>
      <c r="H365" s="221"/>
      <c r="I365" s="214"/>
      <c r="J365" s="239"/>
    </row>
    <row r="366" spans="1:10" s="213" customFormat="1" x14ac:dyDescent="0.25">
      <c r="A366" s="216">
        <f>ORÇAMENTO!A125</f>
        <v>16</v>
      </c>
      <c r="B366" s="332" t="str">
        <f>ORÇAMENTO!C125</f>
        <v xml:space="preserve"> LIMPEZA</v>
      </c>
      <c r="C366" s="216"/>
      <c r="D366" s="216"/>
      <c r="E366" s="216"/>
      <c r="F366" s="244"/>
      <c r="G366" s="216"/>
      <c r="H366" s="244"/>
      <c r="I366" s="216"/>
      <c r="J366" s="216"/>
    </row>
    <row r="367" spans="1:10" x14ac:dyDescent="0.25">
      <c r="A367" s="214" t="str">
        <f>ORÇAMENTO!A126</f>
        <v>16.1</v>
      </c>
      <c r="B367" s="249" t="str">
        <f>ORÇAMENTO!C126</f>
        <v>Limpeza geral da obra (edificação)</v>
      </c>
      <c r="C367" s="243"/>
      <c r="D367" s="214"/>
      <c r="E367" s="214"/>
      <c r="F367" s="221"/>
      <c r="G367" s="214"/>
      <c r="H367" s="221">
        <f>J7</f>
        <v>156.9</v>
      </c>
      <c r="I367" s="214"/>
      <c r="J367" s="240">
        <f>H367</f>
        <v>156.9</v>
      </c>
    </row>
    <row r="368" spans="1:10" x14ac:dyDescent="0.25">
      <c r="A368" s="214"/>
      <c r="B368" s="249"/>
      <c r="C368" s="242"/>
      <c r="D368" s="214"/>
      <c r="E368" s="214"/>
      <c r="F368" s="221"/>
      <c r="G368" s="214"/>
      <c r="H368" s="221"/>
      <c r="I368" s="214"/>
      <c r="J368" s="239"/>
    </row>
    <row r="369" spans="1:10" x14ac:dyDescent="0.25">
      <c r="A369" s="214"/>
      <c r="B369" s="249"/>
      <c r="C369" s="243"/>
      <c r="D369" s="214"/>
      <c r="E369" s="214"/>
      <c r="F369" s="221"/>
      <c r="G369" s="214"/>
      <c r="H369" s="221"/>
      <c r="I369" s="214"/>
      <c r="J369" s="239"/>
    </row>
    <row r="370" spans="1:10" x14ac:dyDescent="0.25">
      <c r="A370" s="214"/>
      <c r="B370" s="249"/>
      <c r="C370" s="242"/>
      <c r="D370" s="214"/>
      <c r="E370" s="214"/>
      <c r="F370" s="221"/>
      <c r="G370" s="214"/>
      <c r="H370" s="221"/>
      <c r="I370" s="214"/>
      <c r="J370" s="239"/>
    </row>
    <row r="371" spans="1:10" x14ac:dyDescent="0.25">
      <c r="A371" s="214"/>
      <c r="B371" s="249"/>
      <c r="C371" s="243"/>
      <c r="D371" s="214"/>
      <c r="E371" s="214"/>
      <c r="F371" s="221"/>
      <c r="G371" s="214"/>
      <c r="H371" s="221"/>
      <c r="I371" s="214"/>
      <c r="J371" s="239"/>
    </row>
    <row r="372" spans="1:10" x14ac:dyDescent="0.25">
      <c r="A372" s="214"/>
      <c r="B372" s="249"/>
      <c r="C372" s="214"/>
      <c r="D372" s="214"/>
      <c r="E372" s="214"/>
      <c r="F372" s="221"/>
      <c r="G372" s="214"/>
      <c r="H372" s="221"/>
      <c r="I372" s="214"/>
      <c r="J372" s="239"/>
    </row>
    <row r="373" spans="1:10" x14ac:dyDescent="0.25">
      <c r="A373" s="214"/>
      <c r="B373" s="215"/>
      <c r="C373" s="214"/>
      <c r="D373" s="214"/>
      <c r="E373" s="214"/>
      <c r="F373" s="221"/>
      <c r="G373" s="214"/>
      <c r="H373" s="221"/>
      <c r="I373" s="214"/>
      <c r="J373" s="239"/>
    </row>
    <row r="374" spans="1:10" x14ac:dyDescent="0.25">
      <c r="A374" s="214"/>
      <c r="B374" s="215"/>
      <c r="C374" s="214"/>
      <c r="D374" s="214"/>
      <c r="E374" s="214"/>
      <c r="F374" s="221"/>
      <c r="G374" s="214"/>
      <c r="H374" s="221"/>
      <c r="I374" s="214"/>
      <c r="J374" s="239"/>
    </row>
    <row r="375" spans="1:10" s="343" customFormat="1" x14ac:dyDescent="0.25">
      <c r="A375" s="339"/>
      <c r="B375" s="340"/>
      <c r="C375" s="339"/>
      <c r="D375" s="339"/>
      <c r="E375" s="339"/>
      <c r="F375" s="341"/>
      <c r="G375" s="339"/>
      <c r="H375" s="341"/>
      <c r="I375" s="339"/>
      <c r="J375" s="342"/>
    </row>
    <row r="376" spans="1:10" x14ac:dyDescent="0.25">
      <c r="A376" s="214"/>
      <c r="B376" s="219"/>
      <c r="C376" s="214"/>
      <c r="D376" s="214"/>
      <c r="E376" s="214"/>
      <c r="F376" s="221"/>
      <c r="G376" s="214"/>
      <c r="H376" s="221"/>
      <c r="I376" s="214"/>
      <c r="J376" s="239"/>
    </row>
    <row r="377" spans="1:10" x14ac:dyDescent="0.25">
      <c r="A377" s="214"/>
      <c r="B377" s="219"/>
      <c r="C377" s="214"/>
      <c r="D377" s="214"/>
      <c r="E377" s="214"/>
      <c r="F377" s="221"/>
      <c r="G377" s="214"/>
      <c r="H377" s="221"/>
      <c r="I377" s="214"/>
      <c r="J377" s="239"/>
    </row>
    <row r="378" spans="1:10" x14ac:dyDescent="0.25">
      <c r="A378" s="214"/>
      <c r="B378" s="215"/>
      <c r="C378" s="214"/>
      <c r="D378" s="214"/>
      <c r="E378" s="214"/>
      <c r="F378" s="221"/>
      <c r="G378" s="214"/>
      <c r="H378" s="221"/>
      <c r="I378" s="214"/>
      <c r="J378" s="239"/>
    </row>
    <row r="379" spans="1:10" x14ac:dyDescent="0.25">
      <c r="A379" s="214"/>
      <c r="B379" s="219"/>
      <c r="C379" s="214"/>
      <c r="D379" s="214"/>
      <c r="E379" s="214"/>
      <c r="F379" s="221"/>
      <c r="G379" s="214"/>
      <c r="H379" s="221"/>
      <c r="I379" s="214"/>
      <c r="J379" s="239"/>
    </row>
    <row r="380" spans="1:10" x14ac:dyDescent="0.25">
      <c r="A380" s="214"/>
      <c r="B380" s="219"/>
      <c r="C380" s="214"/>
      <c r="D380" s="214"/>
      <c r="E380" s="214"/>
      <c r="F380" s="221"/>
      <c r="G380" s="214"/>
      <c r="H380" s="221"/>
      <c r="I380" s="214"/>
      <c r="J380" s="239"/>
    </row>
    <row r="381" spans="1:10" x14ac:dyDescent="0.25">
      <c r="A381" s="214"/>
      <c r="B381" s="219"/>
      <c r="C381" s="214"/>
      <c r="D381" s="214"/>
      <c r="E381" s="214"/>
      <c r="F381" s="221"/>
      <c r="G381" s="214"/>
      <c r="H381" s="221"/>
      <c r="I381" s="214"/>
      <c r="J381" s="239"/>
    </row>
    <row r="382" spans="1:10" x14ac:dyDescent="0.25">
      <c r="A382" s="214"/>
      <c r="B382" s="219"/>
      <c r="C382" s="214"/>
      <c r="D382" s="214"/>
      <c r="E382" s="214"/>
      <c r="F382" s="221"/>
      <c r="G382" s="214"/>
      <c r="H382" s="221"/>
      <c r="I382" s="214"/>
      <c r="J382" s="239"/>
    </row>
    <row r="383" spans="1:10" x14ac:dyDescent="0.25">
      <c r="A383" s="214"/>
      <c r="B383" s="219"/>
      <c r="C383" s="214"/>
      <c r="D383" s="214"/>
      <c r="E383" s="214"/>
      <c r="F383" s="221"/>
      <c r="G383" s="214"/>
      <c r="H383" s="221"/>
      <c r="I383" s="214"/>
      <c r="J383" s="239"/>
    </row>
    <row r="384" spans="1:10" x14ac:dyDescent="0.25">
      <c r="A384" s="214"/>
      <c r="B384" s="219"/>
      <c r="C384" s="214"/>
      <c r="D384" s="214"/>
      <c r="E384" s="214"/>
      <c r="F384" s="221"/>
      <c r="G384" s="214"/>
      <c r="H384" s="221"/>
      <c r="I384" s="214"/>
      <c r="J384" s="239"/>
    </row>
    <row r="385" spans="1:10" x14ac:dyDescent="0.25">
      <c r="A385" s="214"/>
      <c r="B385" s="219"/>
      <c r="C385" s="214"/>
      <c r="D385" s="214"/>
      <c r="E385" s="214"/>
      <c r="F385" s="221"/>
      <c r="G385" s="214"/>
      <c r="H385" s="221"/>
      <c r="I385" s="214"/>
      <c r="J385" s="239"/>
    </row>
    <row r="386" spans="1:10" x14ac:dyDescent="0.25">
      <c r="A386" s="214"/>
      <c r="B386" s="219"/>
      <c r="C386" s="214"/>
      <c r="D386" s="214"/>
      <c r="E386" s="214"/>
      <c r="F386" s="221"/>
      <c r="G386" s="214"/>
      <c r="H386" s="221"/>
      <c r="I386" s="214"/>
      <c r="J386" s="239"/>
    </row>
    <row r="387" spans="1:10" x14ac:dyDescent="0.25">
      <c r="A387" s="214"/>
      <c r="B387" s="219"/>
      <c r="C387" s="214"/>
      <c r="D387" s="214"/>
      <c r="E387" s="214"/>
      <c r="F387" s="221"/>
      <c r="G387" s="214"/>
      <c r="H387" s="221"/>
      <c r="I387" s="214"/>
      <c r="J387" s="239"/>
    </row>
    <row r="388" spans="1:10" x14ac:dyDescent="0.25">
      <c r="A388" s="214"/>
      <c r="B388" s="219"/>
      <c r="C388" s="214"/>
      <c r="D388" s="214"/>
      <c r="E388" s="214"/>
      <c r="F388" s="221"/>
      <c r="G388" s="214"/>
      <c r="H388" s="221"/>
      <c r="I388" s="214"/>
      <c r="J388" s="239"/>
    </row>
    <row r="389" spans="1:10" x14ac:dyDescent="0.25">
      <c r="A389" s="214"/>
      <c r="B389" s="219"/>
      <c r="C389" s="214"/>
      <c r="D389" s="214"/>
      <c r="E389" s="214"/>
      <c r="F389" s="221"/>
      <c r="G389" s="214"/>
      <c r="H389" s="221"/>
      <c r="I389" s="214"/>
      <c r="J389" s="239"/>
    </row>
    <row r="390" spans="1:10" x14ac:dyDescent="0.25">
      <c r="A390" s="214"/>
      <c r="B390" s="219"/>
      <c r="C390" s="214"/>
      <c r="D390" s="214"/>
      <c r="E390" s="214"/>
      <c r="F390" s="221"/>
      <c r="G390" s="214"/>
      <c r="H390" s="221"/>
      <c r="I390" s="214"/>
      <c r="J390" s="239"/>
    </row>
    <row r="391" spans="1:10" x14ac:dyDescent="0.25">
      <c r="A391" s="214"/>
      <c r="B391" s="219"/>
      <c r="C391" s="214"/>
      <c r="D391" s="214"/>
      <c r="E391" s="214"/>
      <c r="F391" s="221"/>
      <c r="G391" s="214"/>
      <c r="H391" s="221"/>
      <c r="I391" s="214"/>
      <c r="J391" s="239"/>
    </row>
    <row r="392" spans="1:10" x14ac:dyDescent="0.25">
      <c r="A392" s="214"/>
      <c r="B392" s="219"/>
      <c r="C392" s="214"/>
      <c r="D392" s="214"/>
      <c r="E392" s="214"/>
      <c r="F392" s="221"/>
      <c r="G392" s="214"/>
      <c r="H392" s="221"/>
      <c r="I392" s="214"/>
      <c r="J392" s="239"/>
    </row>
    <row r="393" spans="1:10" x14ac:dyDescent="0.25">
      <c r="A393" s="214"/>
      <c r="B393" s="219"/>
      <c r="C393" s="214"/>
      <c r="D393" s="214"/>
      <c r="E393" s="214"/>
      <c r="F393" s="221"/>
      <c r="G393" s="214"/>
      <c r="H393" s="221"/>
      <c r="I393" s="214"/>
      <c r="J393" s="239"/>
    </row>
    <row r="394" spans="1:10" x14ac:dyDescent="0.25">
      <c r="A394" s="214"/>
      <c r="B394" s="219"/>
      <c r="C394" s="214"/>
      <c r="D394" s="214"/>
      <c r="E394" s="214"/>
      <c r="F394" s="221"/>
      <c r="G394" s="214"/>
      <c r="H394" s="221"/>
      <c r="I394" s="214"/>
      <c r="J394" s="239"/>
    </row>
    <row r="395" spans="1:10" x14ac:dyDescent="0.25">
      <c r="A395" s="214"/>
      <c r="B395" s="219"/>
      <c r="C395" s="214"/>
      <c r="D395" s="250"/>
      <c r="E395" s="214"/>
      <c r="F395" s="221"/>
      <c r="G395" s="214"/>
      <c r="H395" s="221"/>
      <c r="I395" s="214"/>
      <c r="J395" s="239"/>
    </row>
    <row r="396" spans="1:10" x14ac:dyDescent="0.25">
      <c r="A396" s="214"/>
      <c r="B396" s="219"/>
      <c r="C396" s="214"/>
      <c r="D396" s="214"/>
      <c r="E396" s="214"/>
      <c r="F396" s="221"/>
      <c r="G396" s="214"/>
      <c r="H396" s="221"/>
      <c r="I396" s="214"/>
      <c r="J396" s="239"/>
    </row>
    <row r="397" spans="1:10" x14ac:dyDescent="0.25">
      <c r="A397" s="214"/>
      <c r="B397" s="219"/>
      <c r="C397" s="214"/>
      <c r="D397" s="214"/>
      <c r="E397" s="214"/>
      <c r="F397" s="221"/>
      <c r="G397" s="214"/>
      <c r="H397" s="221"/>
      <c r="I397" s="214"/>
      <c r="J397" s="239"/>
    </row>
    <row r="398" spans="1:10" x14ac:dyDescent="0.25">
      <c r="A398" s="214"/>
      <c r="B398" s="219"/>
      <c r="C398" s="214"/>
      <c r="D398" s="214"/>
      <c r="E398" s="214"/>
      <c r="F398" s="221"/>
      <c r="G398" s="214"/>
      <c r="H398" s="221"/>
      <c r="I398" s="214"/>
      <c r="J398" s="239"/>
    </row>
    <row r="399" spans="1:10" x14ac:dyDescent="0.25">
      <c r="A399" s="214"/>
      <c r="B399" s="219"/>
      <c r="C399" s="214"/>
      <c r="D399" s="214"/>
      <c r="E399" s="214"/>
      <c r="F399" s="221"/>
      <c r="G399" s="214"/>
      <c r="H399" s="221"/>
      <c r="I399" s="214"/>
      <c r="J399" s="239"/>
    </row>
    <row r="400" spans="1:10" x14ac:dyDescent="0.25">
      <c r="A400" s="214"/>
      <c r="B400" s="215"/>
      <c r="C400" s="214"/>
      <c r="D400" s="214"/>
      <c r="E400" s="214"/>
      <c r="F400" s="221"/>
      <c r="G400" s="214"/>
      <c r="H400" s="221"/>
      <c r="I400" s="214"/>
      <c r="J400" s="239"/>
    </row>
    <row r="401" spans="1:10" s="212" customFormat="1" x14ac:dyDescent="0.25">
      <c r="A401" s="220">
        <f>ORÇAMENTO!A117</f>
        <v>14</v>
      </c>
      <c r="B401" s="218" t="str">
        <f>ORÇAMENTO!C117</f>
        <v>PINTURA</v>
      </c>
      <c r="C401" s="220"/>
      <c r="D401" s="220"/>
      <c r="E401" s="220"/>
      <c r="F401" s="237"/>
      <c r="G401" s="220"/>
      <c r="H401" s="237"/>
      <c r="I401" s="220"/>
      <c r="J401" s="216"/>
    </row>
    <row r="402" spans="1:10" x14ac:dyDescent="0.25">
      <c r="A402" s="214"/>
      <c r="B402" s="219"/>
      <c r="C402" s="214"/>
      <c r="D402" s="214"/>
      <c r="E402" s="214"/>
      <c r="F402" s="221"/>
      <c r="G402" s="214"/>
      <c r="H402" s="221"/>
      <c r="I402" s="214"/>
      <c r="J402" s="240"/>
    </row>
    <row r="403" spans="1:10" x14ac:dyDescent="0.25">
      <c r="A403" s="214"/>
      <c r="B403" s="219"/>
      <c r="C403" s="214"/>
      <c r="D403" s="214"/>
      <c r="E403" s="214"/>
      <c r="F403" s="221"/>
      <c r="G403" s="214"/>
      <c r="H403" s="221"/>
      <c r="I403" s="214"/>
      <c r="J403" s="240"/>
    </row>
    <row r="404" spans="1:10" x14ac:dyDescent="0.25">
      <c r="A404" s="214"/>
      <c r="B404" s="215"/>
      <c r="C404" s="214"/>
      <c r="D404" s="214"/>
      <c r="E404" s="214"/>
      <c r="F404" s="221"/>
      <c r="G404" s="214"/>
      <c r="H404" s="221"/>
      <c r="I404" s="214"/>
      <c r="J404" s="239"/>
    </row>
    <row r="405" spans="1:10" s="212" customFormat="1" x14ac:dyDescent="0.25">
      <c r="A405" s="220" t="e">
        <f>ORÇAMENTO!#REF!</f>
        <v>#REF!</v>
      </c>
      <c r="B405" s="218" t="e">
        <f>ORÇAMENTO!#REF!</f>
        <v>#REF!</v>
      </c>
      <c r="C405" s="220"/>
      <c r="D405" s="220"/>
      <c r="E405" s="220"/>
      <c r="F405" s="237"/>
      <c r="G405" s="220"/>
      <c r="H405" s="237"/>
      <c r="I405" s="220"/>
      <c r="J405" s="216"/>
    </row>
    <row r="406" spans="1:10" x14ac:dyDescent="0.25">
      <c r="A406" s="214"/>
      <c r="B406" s="219"/>
      <c r="C406" s="214"/>
      <c r="D406" s="214"/>
      <c r="E406" s="214"/>
      <c r="F406" s="221"/>
      <c r="G406" s="214"/>
      <c r="H406" s="221"/>
      <c r="I406" s="214"/>
      <c r="J406" s="239"/>
    </row>
    <row r="407" spans="1:10" x14ac:dyDescent="0.25">
      <c r="A407" s="214"/>
      <c r="B407" s="219"/>
      <c r="C407" s="214"/>
      <c r="D407" s="214"/>
      <c r="E407" s="214"/>
      <c r="F407" s="221"/>
      <c r="G407" s="214"/>
      <c r="H407" s="221"/>
      <c r="I407" s="214"/>
      <c r="J407" s="239"/>
    </row>
    <row r="408" spans="1:10" x14ac:dyDescent="0.25">
      <c r="A408" s="214"/>
      <c r="B408" s="251"/>
      <c r="C408" s="214"/>
      <c r="D408" s="214"/>
      <c r="E408" s="214"/>
      <c r="F408" s="221"/>
      <c r="G408" s="214"/>
      <c r="H408" s="221"/>
      <c r="I408" s="214"/>
      <c r="J408" s="239"/>
    </row>
    <row r="409" spans="1:10" x14ac:dyDescent="0.25">
      <c r="A409" s="214"/>
      <c r="B409" s="219"/>
      <c r="C409" s="214"/>
      <c r="D409" s="214"/>
      <c r="E409" s="214"/>
      <c r="F409" s="221"/>
      <c r="G409" s="214"/>
      <c r="H409" s="221"/>
      <c r="I409" s="214"/>
      <c r="J409" s="239"/>
    </row>
    <row r="410" spans="1:10" x14ac:dyDescent="0.25">
      <c r="A410" s="214"/>
      <c r="B410" s="219"/>
      <c r="C410" s="214"/>
      <c r="D410" s="214"/>
      <c r="E410" s="214"/>
      <c r="F410" s="221"/>
      <c r="G410" s="214"/>
      <c r="H410" s="221"/>
      <c r="I410" s="214"/>
      <c r="J410" s="239"/>
    </row>
    <row r="411" spans="1:10" x14ac:dyDescent="0.25">
      <c r="A411" s="214"/>
      <c r="B411" s="219"/>
      <c r="C411" s="214"/>
      <c r="D411" s="214"/>
      <c r="E411" s="214"/>
      <c r="F411" s="221"/>
      <c r="G411" s="214"/>
      <c r="H411" s="221"/>
      <c r="I411" s="214"/>
      <c r="J411" s="239"/>
    </row>
    <row r="412" spans="1:10" x14ac:dyDescent="0.25">
      <c r="A412" s="214"/>
      <c r="B412" s="215"/>
      <c r="C412" s="214"/>
      <c r="D412" s="214"/>
      <c r="E412" s="214"/>
      <c r="F412" s="221"/>
      <c r="G412" s="214"/>
      <c r="H412" s="221"/>
      <c r="I412" s="214"/>
      <c r="J412" s="239"/>
    </row>
    <row r="413" spans="1:10" s="212" customFormat="1" x14ac:dyDescent="0.25">
      <c r="A413" s="220">
        <f>ORÇAMENTO!A125</f>
        <v>16</v>
      </c>
      <c r="B413" s="218" t="str">
        <f>ORÇAMENTO!C125</f>
        <v xml:space="preserve"> LIMPEZA</v>
      </c>
      <c r="C413" s="220"/>
      <c r="D413" s="220"/>
      <c r="E413" s="220"/>
      <c r="F413" s="237"/>
      <c r="G413" s="220"/>
      <c r="H413" s="237"/>
      <c r="I413" s="220"/>
      <c r="J413" s="216"/>
    </row>
    <row r="414" spans="1:10" x14ac:dyDescent="0.25">
      <c r="A414" s="214"/>
      <c r="B414" s="215"/>
      <c r="C414" s="214"/>
      <c r="D414" s="214"/>
      <c r="E414" s="214"/>
      <c r="F414" s="221"/>
      <c r="G414" s="214"/>
      <c r="H414" s="221"/>
      <c r="I414" s="214"/>
      <c r="J414" s="240"/>
    </row>
    <row r="415" spans="1:10" x14ac:dyDescent="0.25">
      <c r="A415" s="214"/>
      <c r="B415" s="215"/>
      <c r="C415" s="214"/>
      <c r="D415" s="214"/>
      <c r="E415" s="214"/>
      <c r="F415" s="221"/>
      <c r="G415" s="214"/>
      <c r="H415" s="221"/>
      <c r="I415" s="214"/>
      <c r="J415" s="239"/>
    </row>
    <row r="416" spans="1:10" x14ac:dyDescent="0.25">
      <c r="A416" s="214"/>
      <c r="B416" s="215"/>
      <c r="C416" s="214"/>
      <c r="D416" s="214"/>
      <c r="E416" s="214"/>
      <c r="F416" s="221"/>
      <c r="G416" s="214"/>
      <c r="H416" s="221"/>
      <c r="I416" s="214"/>
      <c r="J416" s="239"/>
    </row>
    <row r="417" spans="1:10" x14ac:dyDescent="0.25">
      <c r="A417" s="214"/>
      <c r="B417" s="215"/>
      <c r="C417" s="214"/>
      <c r="D417" s="214"/>
      <c r="E417" s="214"/>
      <c r="F417" s="221"/>
      <c r="G417" s="214"/>
      <c r="H417" s="221"/>
      <c r="I417" s="214"/>
      <c r="J417" s="239"/>
    </row>
    <row r="418" spans="1:10" x14ac:dyDescent="0.25">
      <c r="A418" s="214"/>
      <c r="B418" s="215"/>
      <c r="C418" s="214"/>
      <c r="D418" s="214"/>
      <c r="E418" s="214"/>
      <c r="F418" s="221"/>
      <c r="G418" s="214"/>
      <c r="H418" s="221"/>
      <c r="I418" s="214"/>
      <c r="J418" s="239"/>
    </row>
    <row r="419" spans="1:10" x14ac:dyDescent="0.25">
      <c r="A419" s="214"/>
      <c r="B419" s="215"/>
      <c r="C419" s="214"/>
      <c r="D419" s="214"/>
      <c r="E419" s="214"/>
      <c r="F419" s="221"/>
      <c r="G419" s="214"/>
      <c r="H419" s="221"/>
      <c r="I419" s="214"/>
      <c r="J419" s="239"/>
    </row>
    <row r="420" spans="1:10" x14ac:dyDescent="0.25">
      <c r="A420" s="214"/>
      <c r="B420" s="215"/>
      <c r="C420" s="214"/>
      <c r="D420" s="214"/>
      <c r="E420" s="214"/>
      <c r="F420" s="221"/>
      <c r="G420" s="214"/>
      <c r="H420" s="221"/>
      <c r="I420" s="214"/>
      <c r="J420" s="239"/>
    </row>
    <row r="421" spans="1:10" x14ac:dyDescent="0.25">
      <c r="A421" s="214"/>
      <c r="B421" s="215"/>
      <c r="C421" s="214"/>
      <c r="D421" s="214"/>
      <c r="E421" s="214"/>
      <c r="F421" s="221"/>
      <c r="G421" s="214"/>
      <c r="H421" s="221"/>
      <c r="I421" s="214"/>
      <c r="J421" s="239"/>
    </row>
    <row r="422" spans="1:10" x14ac:dyDescent="0.25">
      <c r="A422" s="214"/>
      <c r="B422" s="215"/>
      <c r="C422" s="214"/>
      <c r="D422" s="214"/>
      <c r="E422" s="214"/>
      <c r="F422" s="221"/>
      <c r="G422" s="214"/>
      <c r="H422" s="221"/>
      <c r="I422" s="214"/>
      <c r="J422" s="239"/>
    </row>
    <row r="423" spans="1:10" x14ac:dyDescent="0.25">
      <c r="A423" s="214"/>
      <c r="B423" s="215"/>
      <c r="C423" s="214"/>
      <c r="D423" s="214"/>
      <c r="E423" s="214"/>
      <c r="F423" s="221"/>
      <c r="G423" s="214"/>
      <c r="H423" s="221"/>
      <c r="I423" s="214"/>
      <c r="J423" s="239"/>
    </row>
    <row r="424" spans="1:10" x14ac:dyDescent="0.25">
      <c r="A424" s="214"/>
      <c r="B424" s="215"/>
      <c r="C424" s="214"/>
      <c r="D424" s="214"/>
      <c r="E424" s="214"/>
      <c r="F424" s="221"/>
      <c r="G424" s="214"/>
      <c r="H424" s="221"/>
      <c r="I424" s="214"/>
      <c r="J424" s="239"/>
    </row>
    <row r="425" spans="1:10" x14ac:dyDescent="0.25">
      <c r="A425" s="214"/>
      <c r="B425" s="215"/>
      <c r="C425" s="214"/>
      <c r="D425" s="214"/>
      <c r="E425" s="214"/>
      <c r="F425" s="221"/>
      <c r="G425" s="214"/>
      <c r="H425" s="221"/>
      <c r="I425" s="214"/>
      <c r="J425" s="239"/>
    </row>
    <row r="426" spans="1:10" x14ac:dyDescent="0.25">
      <c r="A426" s="214"/>
      <c r="B426" s="215"/>
      <c r="C426" s="214"/>
      <c r="D426" s="214"/>
      <c r="E426" s="214"/>
      <c r="F426" s="221"/>
      <c r="G426" s="214"/>
      <c r="H426" s="221"/>
      <c r="I426" s="214"/>
      <c r="J426" s="239"/>
    </row>
    <row r="427" spans="1:10" x14ac:dyDescent="0.25">
      <c r="A427" s="214"/>
      <c r="B427" s="215"/>
      <c r="C427" s="214"/>
      <c r="D427" s="214"/>
      <c r="E427" s="214"/>
      <c r="F427" s="221"/>
      <c r="G427" s="214"/>
      <c r="H427" s="221"/>
      <c r="I427" s="214"/>
      <c r="J427" s="239"/>
    </row>
    <row r="428" spans="1:10" x14ac:dyDescent="0.25">
      <c r="A428" s="214"/>
      <c r="B428" s="215"/>
      <c r="C428" s="214"/>
      <c r="D428" s="214"/>
      <c r="E428" s="214"/>
      <c r="F428" s="221"/>
      <c r="G428" s="214"/>
      <c r="H428" s="221"/>
      <c r="I428" s="214"/>
      <c r="J428" s="239"/>
    </row>
    <row r="429" spans="1:10" x14ac:dyDescent="0.25">
      <c r="A429" s="214"/>
      <c r="B429" s="215"/>
      <c r="C429" s="214"/>
      <c r="D429" s="214"/>
      <c r="E429" s="214"/>
      <c r="F429" s="221"/>
      <c r="G429" s="214"/>
      <c r="H429" s="221"/>
      <c r="I429" s="214"/>
      <c r="J429" s="239"/>
    </row>
    <row r="430" spans="1:10" x14ac:dyDescent="0.25">
      <c r="A430" s="214"/>
      <c r="B430" s="215"/>
      <c r="C430" s="214"/>
      <c r="D430" s="214"/>
      <c r="E430" s="214"/>
      <c r="F430" s="221"/>
      <c r="G430" s="214"/>
      <c r="H430" s="221"/>
      <c r="I430" s="214"/>
      <c r="J430" s="239"/>
    </row>
    <row r="431" spans="1:10" x14ac:dyDescent="0.25">
      <c r="A431" s="214"/>
      <c r="B431" s="215"/>
      <c r="C431" s="214"/>
      <c r="D431" s="214"/>
      <c r="E431" s="214"/>
      <c r="F431" s="221"/>
      <c r="G431" s="214"/>
      <c r="H431" s="221"/>
      <c r="I431" s="214"/>
      <c r="J431" s="239"/>
    </row>
    <row r="432" spans="1:10" x14ac:dyDescent="0.25">
      <c r="A432" s="214"/>
      <c r="B432" s="215"/>
      <c r="C432" s="214"/>
      <c r="D432" s="214"/>
      <c r="E432" s="214"/>
      <c r="F432" s="221"/>
      <c r="G432" s="214"/>
      <c r="H432" s="221"/>
      <c r="I432" s="214"/>
      <c r="J432" s="239"/>
    </row>
    <row r="433" spans="1:10" x14ac:dyDescent="0.25">
      <c r="A433" s="214"/>
      <c r="B433" s="215"/>
      <c r="C433" s="214"/>
      <c r="D433" s="214"/>
      <c r="E433" s="214"/>
      <c r="F433" s="221"/>
      <c r="G433" s="214"/>
      <c r="H433" s="221"/>
      <c r="I433" s="214"/>
      <c r="J433" s="239"/>
    </row>
    <row r="434" spans="1:10" x14ac:dyDescent="0.25">
      <c r="A434" s="214"/>
      <c r="B434" s="215"/>
      <c r="C434" s="214"/>
      <c r="D434" s="214"/>
      <c r="E434" s="214"/>
      <c r="F434" s="221"/>
      <c r="G434" s="214"/>
      <c r="H434" s="221"/>
      <c r="I434" s="214"/>
      <c r="J434" s="239"/>
    </row>
    <row r="435" spans="1:10" x14ac:dyDescent="0.25">
      <c r="A435" s="214"/>
      <c r="B435" s="215"/>
      <c r="C435" s="214"/>
      <c r="D435" s="214"/>
      <c r="E435" s="214"/>
      <c r="F435" s="221"/>
      <c r="G435" s="214"/>
      <c r="H435" s="221"/>
      <c r="I435" s="214"/>
      <c r="J435" s="239"/>
    </row>
    <row r="436" spans="1:10" x14ac:dyDescent="0.25">
      <c r="A436" s="214"/>
      <c r="B436" s="215"/>
      <c r="C436" s="214"/>
      <c r="D436" s="214"/>
      <c r="E436" s="214"/>
      <c r="F436" s="221"/>
      <c r="G436" s="214"/>
      <c r="H436" s="221"/>
      <c r="I436" s="214"/>
      <c r="J436" s="239"/>
    </row>
    <row r="437" spans="1:10" x14ac:dyDescent="0.25">
      <c r="A437" s="214"/>
      <c r="B437" s="215"/>
      <c r="C437" s="214"/>
      <c r="D437" s="214"/>
      <c r="E437" s="214"/>
      <c r="F437" s="221"/>
      <c r="G437" s="214"/>
      <c r="H437" s="221"/>
      <c r="I437" s="214"/>
      <c r="J437" s="239"/>
    </row>
    <row r="438" spans="1:10" x14ac:dyDescent="0.25">
      <c r="A438" s="214"/>
      <c r="B438" s="215"/>
      <c r="C438" s="214"/>
      <c r="D438" s="214"/>
      <c r="E438" s="214"/>
      <c r="F438" s="221"/>
      <c r="G438" s="214"/>
      <c r="H438" s="221"/>
      <c r="I438" s="214"/>
      <c r="J438" s="239"/>
    </row>
    <row r="439" spans="1:10" x14ac:dyDescent="0.25">
      <c r="A439" s="214"/>
      <c r="B439" s="215"/>
      <c r="C439" s="214"/>
      <c r="D439" s="214"/>
      <c r="E439" s="214"/>
      <c r="F439" s="221"/>
      <c r="G439" s="214"/>
      <c r="H439" s="221"/>
      <c r="I439" s="214"/>
      <c r="J439" s="239"/>
    </row>
    <row r="440" spans="1:10" x14ac:dyDescent="0.25">
      <c r="A440" s="214"/>
      <c r="B440" s="215"/>
      <c r="C440" s="214"/>
      <c r="D440" s="214"/>
      <c r="E440" s="214"/>
      <c r="F440" s="221"/>
      <c r="G440" s="214"/>
      <c r="H440" s="221"/>
      <c r="I440" s="214"/>
      <c r="J440" s="239"/>
    </row>
    <row r="441" spans="1:10" x14ac:dyDescent="0.25">
      <c r="A441" s="214"/>
      <c r="B441" s="215"/>
      <c r="C441" s="214"/>
      <c r="D441" s="214"/>
      <c r="E441" s="214"/>
      <c r="F441" s="221"/>
      <c r="G441" s="214"/>
      <c r="H441" s="221"/>
      <c r="I441" s="214"/>
      <c r="J441" s="239"/>
    </row>
    <row r="442" spans="1:10" x14ac:dyDescent="0.25">
      <c r="A442" s="214"/>
      <c r="B442" s="215"/>
      <c r="C442" s="214"/>
      <c r="D442" s="214"/>
      <c r="E442" s="214"/>
      <c r="F442" s="221"/>
      <c r="G442" s="214"/>
      <c r="H442" s="221"/>
      <c r="I442" s="214"/>
      <c r="J442" s="239"/>
    </row>
    <row r="443" spans="1:10" x14ac:dyDescent="0.25">
      <c r="A443" s="214"/>
      <c r="B443" s="215"/>
      <c r="C443" s="214"/>
      <c r="D443" s="214"/>
      <c r="E443" s="214"/>
      <c r="F443" s="221"/>
      <c r="G443" s="214"/>
      <c r="H443" s="221"/>
      <c r="I443" s="214"/>
      <c r="J443" s="239"/>
    </row>
    <row r="444" spans="1:10" x14ac:dyDescent="0.25">
      <c r="A444" s="214"/>
      <c r="B444" s="215"/>
      <c r="C444" s="214"/>
      <c r="D444" s="214"/>
      <c r="E444" s="214"/>
      <c r="F444" s="221"/>
      <c r="G444" s="214"/>
      <c r="H444" s="221"/>
      <c r="I444" s="214"/>
      <c r="J444" s="239"/>
    </row>
    <row r="445" spans="1:10" x14ac:dyDescent="0.25">
      <c r="A445" s="214"/>
      <c r="B445" s="215"/>
      <c r="C445" s="214"/>
      <c r="D445" s="214"/>
      <c r="E445" s="214"/>
      <c r="F445" s="221"/>
      <c r="G445" s="214"/>
      <c r="H445" s="221"/>
      <c r="I445" s="214"/>
      <c r="J445" s="239"/>
    </row>
    <row r="446" spans="1:10" x14ac:dyDescent="0.25">
      <c r="A446" s="214"/>
      <c r="B446" s="215"/>
      <c r="C446" s="214"/>
      <c r="D446" s="214"/>
      <c r="E446" s="214"/>
      <c r="F446" s="221"/>
      <c r="G446" s="214"/>
      <c r="H446" s="221"/>
      <c r="I446" s="214"/>
      <c r="J446" s="239"/>
    </row>
    <row r="447" spans="1:10" x14ac:dyDescent="0.25">
      <c r="A447" s="214"/>
      <c r="B447" s="215"/>
      <c r="C447" s="214"/>
      <c r="D447" s="214"/>
      <c r="E447" s="214"/>
      <c r="F447" s="221"/>
      <c r="G447" s="214"/>
      <c r="H447" s="221"/>
      <c r="I447" s="214"/>
      <c r="J447" s="239"/>
    </row>
    <row r="448" spans="1:10" x14ac:dyDescent="0.25">
      <c r="A448" s="214"/>
      <c r="B448" s="215"/>
      <c r="C448" s="214"/>
      <c r="D448" s="214"/>
      <c r="E448" s="214"/>
      <c r="F448" s="221"/>
      <c r="G448" s="214"/>
      <c r="H448" s="221"/>
      <c r="I448" s="214"/>
      <c r="J448" s="239"/>
    </row>
    <row r="449" spans="1:10" x14ac:dyDescent="0.25">
      <c r="A449" s="214"/>
      <c r="B449" s="215"/>
      <c r="C449" s="214"/>
      <c r="D449" s="214"/>
      <c r="E449" s="214"/>
      <c r="F449" s="221"/>
      <c r="G449" s="214"/>
      <c r="H449" s="221"/>
      <c r="I449" s="214"/>
      <c r="J449" s="239"/>
    </row>
    <row r="450" spans="1:10" x14ac:dyDescent="0.25">
      <c r="A450" s="214"/>
      <c r="B450" s="215"/>
      <c r="C450" s="214"/>
      <c r="D450" s="214"/>
      <c r="E450" s="214"/>
      <c r="F450" s="221"/>
      <c r="G450" s="214"/>
      <c r="H450" s="221"/>
      <c r="I450" s="214"/>
      <c r="J450" s="239"/>
    </row>
    <row r="451" spans="1:10" x14ac:dyDescent="0.25">
      <c r="A451" s="214"/>
      <c r="B451" s="215"/>
      <c r="C451" s="214"/>
      <c r="D451" s="214"/>
      <c r="E451" s="214"/>
      <c r="F451" s="221"/>
      <c r="G451" s="214"/>
      <c r="H451" s="221"/>
      <c r="I451" s="214"/>
      <c r="J451" s="239"/>
    </row>
    <row r="452" spans="1:10" x14ac:dyDescent="0.25">
      <c r="A452" s="214"/>
      <c r="B452" s="215"/>
      <c r="C452" s="214"/>
      <c r="D452" s="214"/>
      <c r="E452" s="214"/>
      <c r="F452" s="221"/>
      <c r="G452" s="214"/>
      <c r="H452" s="221"/>
      <c r="I452" s="214"/>
      <c r="J452" s="239"/>
    </row>
    <row r="453" spans="1:10" x14ac:dyDescent="0.25">
      <c r="A453" s="214"/>
      <c r="B453" s="215"/>
      <c r="C453" s="214"/>
      <c r="D453" s="214"/>
      <c r="E453" s="214"/>
      <c r="F453" s="221"/>
      <c r="G453" s="214"/>
      <c r="H453" s="221"/>
      <c r="I453" s="214"/>
      <c r="J453" s="239"/>
    </row>
    <row r="454" spans="1:10" x14ac:dyDescent="0.25">
      <c r="A454" s="214"/>
      <c r="B454" s="215"/>
      <c r="C454" s="214"/>
      <c r="D454" s="214"/>
      <c r="E454" s="214"/>
      <c r="F454" s="221"/>
      <c r="G454" s="214"/>
      <c r="H454" s="221"/>
      <c r="I454" s="214"/>
      <c r="J454" s="239"/>
    </row>
    <row r="455" spans="1:10" x14ac:dyDescent="0.25">
      <c r="A455" s="214"/>
      <c r="B455" s="215"/>
      <c r="C455" s="214"/>
      <c r="D455" s="214"/>
      <c r="E455" s="214"/>
      <c r="F455" s="221"/>
      <c r="G455" s="214"/>
      <c r="H455" s="221"/>
      <c r="I455" s="214"/>
      <c r="J455" s="239"/>
    </row>
    <row r="456" spans="1:10" x14ac:dyDescent="0.25">
      <c r="A456" s="214"/>
      <c r="B456" s="215"/>
      <c r="C456" s="214"/>
      <c r="D456" s="214"/>
      <c r="E456" s="214"/>
      <c r="F456" s="221"/>
      <c r="G456" s="214"/>
      <c r="H456" s="221"/>
      <c r="I456" s="214"/>
      <c r="J456" s="239"/>
    </row>
    <row r="457" spans="1:10" x14ac:dyDescent="0.25">
      <c r="A457" s="214"/>
      <c r="B457" s="215"/>
      <c r="C457" s="214"/>
      <c r="D457" s="214"/>
      <c r="E457" s="214"/>
      <c r="F457" s="221"/>
      <c r="G457" s="214"/>
      <c r="H457" s="221"/>
      <c r="I457" s="214"/>
      <c r="J457" s="239"/>
    </row>
    <row r="458" spans="1:10" x14ac:dyDescent="0.25">
      <c r="A458" s="214"/>
      <c r="B458" s="215"/>
      <c r="C458" s="214"/>
      <c r="D458" s="214"/>
      <c r="E458" s="214"/>
      <c r="F458" s="221"/>
      <c r="G458" s="214"/>
      <c r="H458" s="221"/>
      <c r="I458" s="214"/>
      <c r="J458" s="239"/>
    </row>
    <row r="459" spans="1:10" x14ac:dyDescent="0.25">
      <c r="A459" s="214"/>
      <c r="B459" s="215"/>
      <c r="C459" s="214"/>
      <c r="D459" s="214"/>
      <c r="E459" s="214"/>
      <c r="F459" s="221"/>
      <c r="G459" s="214"/>
      <c r="H459" s="221"/>
      <c r="I459" s="214"/>
      <c r="J459" s="239"/>
    </row>
    <row r="460" spans="1:10" x14ac:dyDescent="0.25">
      <c r="A460" s="214"/>
      <c r="B460" s="215"/>
      <c r="C460" s="214"/>
      <c r="D460" s="214"/>
      <c r="E460" s="214"/>
      <c r="F460" s="221"/>
      <c r="G460" s="214"/>
      <c r="H460" s="221"/>
      <c r="I460" s="214"/>
      <c r="J460" s="239"/>
    </row>
    <row r="461" spans="1:10" x14ac:dyDescent="0.25">
      <c r="A461" s="214"/>
      <c r="B461" s="215"/>
      <c r="C461" s="214"/>
      <c r="D461" s="214"/>
      <c r="E461" s="214"/>
      <c r="F461" s="221"/>
      <c r="G461" s="214"/>
      <c r="H461" s="221"/>
      <c r="I461" s="214"/>
      <c r="J461" s="239"/>
    </row>
    <row r="462" spans="1:10" x14ac:dyDescent="0.25">
      <c r="A462" s="214"/>
      <c r="B462" s="215"/>
      <c r="C462" s="214"/>
      <c r="D462" s="214"/>
      <c r="E462" s="214"/>
      <c r="F462" s="221"/>
      <c r="G462" s="214"/>
      <c r="H462" s="221"/>
      <c r="I462" s="214"/>
      <c r="J462" s="239"/>
    </row>
    <row r="463" spans="1:10" x14ac:dyDescent="0.25">
      <c r="A463" s="214"/>
      <c r="B463" s="215"/>
      <c r="C463" s="214"/>
      <c r="D463" s="214"/>
      <c r="E463" s="214"/>
      <c r="F463" s="221"/>
      <c r="G463" s="214"/>
      <c r="H463" s="221"/>
      <c r="I463" s="214"/>
      <c r="J463" s="239"/>
    </row>
    <row r="464" spans="1:10" x14ac:dyDescent="0.25">
      <c r="A464" s="214"/>
      <c r="B464" s="215"/>
      <c r="C464" s="214"/>
      <c r="D464" s="214"/>
      <c r="E464" s="214"/>
      <c r="F464" s="221"/>
      <c r="G464" s="214"/>
      <c r="H464" s="221"/>
      <c r="I464" s="214"/>
      <c r="J464" s="239"/>
    </row>
    <row r="465" spans="1:10" x14ac:dyDescent="0.25">
      <c r="A465" s="214"/>
      <c r="B465" s="215"/>
      <c r="C465" s="214"/>
      <c r="D465" s="214"/>
      <c r="E465" s="214"/>
      <c r="F465" s="221"/>
      <c r="G465" s="214"/>
      <c r="H465" s="221"/>
      <c r="I465" s="214"/>
      <c r="J465" s="239"/>
    </row>
    <row r="466" spans="1:10" x14ac:dyDescent="0.25">
      <c r="A466" s="214"/>
      <c r="B466" s="215"/>
      <c r="C466" s="214"/>
      <c r="D466" s="214"/>
      <c r="E466" s="214"/>
      <c r="F466" s="221"/>
      <c r="G466" s="214"/>
      <c r="H466" s="221"/>
      <c r="I466" s="214"/>
      <c r="J466" s="239"/>
    </row>
    <row r="467" spans="1:10" x14ac:dyDescent="0.25">
      <c r="A467" s="214"/>
      <c r="B467" s="215"/>
      <c r="C467" s="214"/>
      <c r="D467" s="214"/>
      <c r="E467" s="214"/>
      <c r="F467" s="221"/>
      <c r="G467" s="214"/>
      <c r="H467" s="221"/>
      <c r="I467" s="214"/>
      <c r="J467" s="239"/>
    </row>
    <row r="468" spans="1:10" x14ac:dyDescent="0.25">
      <c r="A468" s="214"/>
      <c r="B468" s="215"/>
      <c r="C468" s="214"/>
      <c r="D468" s="214"/>
      <c r="E468" s="214"/>
      <c r="F468" s="221"/>
      <c r="G468" s="214"/>
      <c r="H468" s="221"/>
      <c r="I468" s="214"/>
      <c r="J468" s="239"/>
    </row>
    <row r="469" spans="1:10" x14ac:dyDescent="0.25">
      <c r="A469" s="214"/>
      <c r="B469" s="215"/>
      <c r="C469" s="214"/>
      <c r="D469" s="214"/>
      <c r="E469" s="214"/>
      <c r="F469" s="221"/>
      <c r="G469" s="214"/>
      <c r="H469" s="221"/>
      <c r="I469" s="214"/>
      <c r="J469" s="239"/>
    </row>
    <row r="470" spans="1:10" x14ac:dyDescent="0.25">
      <c r="A470" s="214"/>
      <c r="B470" s="215"/>
      <c r="C470" s="214"/>
      <c r="D470" s="214"/>
      <c r="E470" s="214"/>
      <c r="F470" s="221"/>
      <c r="G470" s="214"/>
      <c r="H470" s="221"/>
      <c r="I470" s="214"/>
      <c r="J470" s="239"/>
    </row>
    <row r="471" spans="1:10" x14ac:dyDescent="0.25">
      <c r="A471" s="214"/>
      <c r="B471" s="215"/>
      <c r="C471" s="214"/>
      <c r="D471" s="214"/>
      <c r="E471" s="214"/>
      <c r="F471" s="221"/>
      <c r="G471" s="214"/>
      <c r="H471" s="221"/>
      <c r="I471" s="214"/>
      <c r="J471" s="239"/>
    </row>
    <row r="472" spans="1:10" x14ac:dyDescent="0.25">
      <c r="A472" s="214"/>
      <c r="B472" s="215"/>
      <c r="C472" s="214"/>
      <c r="D472" s="214"/>
      <c r="E472" s="214"/>
      <c r="F472" s="221"/>
      <c r="G472" s="214"/>
      <c r="H472" s="221"/>
      <c r="I472" s="214"/>
      <c r="J472" s="239"/>
    </row>
  </sheetData>
  <mergeCells count="6">
    <mergeCell ref="L14:N14"/>
    <mergeCell ref="A1:A4"/>
    <mergeCell ref="B2:J2"/>
    <mergeCell ref="B1:J1"/>
    <mergeCell ref="B3:J3"/>
    <mergeCell ref="B4:H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zoomScale="70" zoomScaleNormal="70" workbookViewId="0">
      <selection sqref="A1:B5"/>
    </sheetView>
  </sheetViews>
  <sheetFormatPr defaultRowHeight="13.2" x14ac:dyDescent="0.25"/>
  <cols>
    <col min="2" max="2" width="37" customWidth="1"/>
    <col min="3" max="3" width="16.44140625" customWidth="1"/>
    <col min="4" max="4" width="14.109375" customWidth="1"/>
    <col min="5" max="5" width="16.6640625" customWidth="1"/>
    <col min="6" max="6" width="17.88671875" customWidth="1"/>
    <col min="7" max="7" width="14.88671875" customWidth="1"/>
    <col min="8" max="8" width="13.88671875" customWidth="1"/>
    <col min="9" max="9" width="22.44140625" customWidth="1"/>
    <col min="10" max="10" width="12.33203125" customWidth="1"/>
  </cols>
  <sheetData>
    <row r="1" spans="1:10" ht="13.8" thickBot="1" x14ac:dyDescent="0.3">
      <c r="A1" s="422"/>
      <c r="B1" s="423"/>
      <c r="C1" s="407" t="s">
        <v>100</v>
      </c>
      <c r="D1" s="407"/>
      <c r="E1" s="407"/>
      <c r="F1" s="407"/>
      <c r="G1" s="407"/>
      <c r="H1" s="407"/>
      <c r="I1" s="407"/>
      <c r="J1" s="408"/>
    </row>
    <row r="2" spans="1:10" ht="13.8" thickBot="1" x14ac:dyDescent="0.3">
      <c r="A2" s="424"/>
      <c r="B2" s="425"/>
      <c r="C2" s="409" t="s">
        <v>0</v>
      </c>
      <c r="D2" s="409"/>
      <c r="E2" s="409"/>
      <c r="F2" s="409"/>
      <c r="G2" s="409"/>
      <c r="H2" s="409"/>
      <c r="I2" s="409"/>
      <c r="J2" s="410"/>
    </row>
    <row r="3" spans="1:10" ht="13.8" x14ac:dyDescent="0.25">
      <c r="A3" s="424"/>
      <c r="B3" s="425"/>
      <c r="C3" s="411" t="s">
        <v>128</v>
      </c>
      <c r="D3" s="411"/>
      <c r="E3" s="411"/>
      <c r="F3" s="411"/>
      <c r="G3" s="411"/>
      <c r="H3" s="411"/>
      <c r="I3" s="411"/>
      <c r="J3" s="412"/>
    </row>
    <row r="4" spans="1:10" ht="36" customHeight="1" thickBot="1" x14ac:dyDescent="0.35">
      <c r="A4" s="424"/>
      <c r="B4" s="425"/>
      <c r="C4" s="413" t="s">
        <v>134</v>
      </c>
      <c r="D4" s="413"/>
      <c r="E4" s="413"/>
      <c r="F4" s="413"/>
      <c r="G4" s="413"/>
      <c r="H4" s="413"/>
      <c r="I4" s="413"/>
      <c r="J4" s="414"/>
    </row>
    <row r="5" spans="1:10" ht="13.8" thickBot="1" x14ac:dyDescent="0.3">
      <c r="A5" s="426"/>
      <c r="B5" s="427"/>
      <c r="C5" s="146"/>
      <c r="D5" s="147"/>
      <c r="E5" s="146"/>
      <c r="F5" s="146"/>
      <c r="G5" s="146"/>
      <c r="H5" s="146"/>
      <c r="I5" s="148"/>
      <c r="J5" s="149"/>
    </row>
    <row r="6" spans="1:10" ht="13.8" thickBot="1" x14ac:dyDescent="0.3">
      <c r="A6" s="415" t="s">
        <v>7</v>
      </c>
      <c r="B6" s="417" t="s">
        <v>101</v>
      </c>
      <c r="C6" s="419" t="s">
        <v>132</v>
      </c>
      <c r="D6" s="419"/>
      <c r="E6" s="419"/>
      <c r="F6" s="419"/>
      <c r="G6" s="419"/>
      <c r="H6" s="419"/>
      <c r="I6" s="420" t="s">
        <v>102</v>
      </c>
      <c r="J6" s="421"/>
    </row>
    <row r="7" spans="1:10" ht="13.8" thickBot="1" x14ac:dyDescent="0.3">
      <c r="A7" s="416"/>
      <c r="B7" s="418"/>
      <c r="C7" s="150">
        <v>30</v>
      </c>
      <c r="D7" s="151">
        <v>60</v>
      </c>
      <c r="E7" s="151">
        <v>90</v>
      </c>
      <c r="F7" s="151">
        <v>120</v>
      </c>
      <c r="G7" s="151">
        <v>150</v>
      </c>
      <c r="H7" s="151">
        <v>180</v>
      </c>
      <c r="I7" s="152" t="s">
        <v>55</v>
      </c>
      <c r="J7" s="153" t="s">
        <v>51</v>
      </c>
    </row>
    <row r="8" spans="1:10" ht="13.8" thickBot="1" x14ac:dyDescent="0.3">
      <c r="A8" s="400"/>
      <c r="B8" s="401"/>
      <c r="C8" s="154"/>
      <c r="D8" s="154"/>
      <c r="E8" s="154"/>
      <c r="F8" s="154"/>
      <c r="G8" s="154"/>
      <c r="H8" s="154"/>
      <c r="I8" s="154"/>
      <c r="J8" s="155"/>
    </row>
    <row r="9" spans="1:10" ht="13.8" thickBot="1" x14ac:dyDescent="0.3">
      <c r="A9" s="402" t="s">
        <v>103</v>
      </c>
      <c r="B9" s="404" t="s">
        <v>19</v>
      </c>
      <c r="C9" s="156">
        <f>C11*$I9</f>
        <v>1477.6632</v>
      </c>
      <c r="D9" s="157">
        <f>D11*[7]planilha!$F$7</f>
        <v>0</v>
      </c>
      <c r="E9" s="157">
        <f>E11*[7]planilha!$F$7</f>
        <v>0</v>
      </c>
      <c r="F9" s="157">
        <f>F11*[7]planilha!$F$7</f>
        <v>0</v>
      </c>
      <c r="G9" s="157">
        <f>G11*[7]planilha!$F$7</f>
        <v>0</v>
      </c>
      <c r="H9" s="157">
        <f>H11*[7]planilha!$F$7</f>
        <v>0</v>
      </c>
      <c r="I9" s="428">
        <f>[8]planilha!L11</f>
        <v>1477.6632</v>
      </c>
      <c r="J9" s="430">
        <f>I9/I49</f>
        <v>2.492126735900909E-2</v>
      </c>
    </row>
    <row r="10" spans="1:10" ht="13.8" thickBot="1" x14ac:dyDescent="0.3">
      <c r="A10" s="403"/>
      <c r="B10" s="405"/>
      <c r="C10" s="158"/>
      <c r="D10" s="159"/>
      <c r="E10" s="159"/>
      <c r="F10" s="159"/>
      <c r="G10" s="159"/>
      <c r="H10" s="159"/>
      <c r="I10" s="429"/>
      <c r="J10" s="431"/>
    </row>
    <row r="11" spans="1:10" ht="13.8" thickBot="1" x14ac:dyDescent="0.3">
      <c r="A11" s="403"/>
      <c r="B11" s="406"/>
      <c r="C11" s="160">
        <v>1</v>
      </c>
      <c r="D11" s="161"/>
      <c r="E11" s="161"/>
      <c r="F11" s="161"/>
      <c r="G11" s="161"/>
      <c r="H11" s="161"/>
      <c r="I11" s="429"/>
      <c r="J11" s="431"/>
    </row>
    <row r="12" spans="1:10" ht="13.8" thickBot="1" x14ac:dyDescent="0.3">
      <c r="A12" s="432" t="s">
        <v>104</v>
      </c>
      <c r="B12" s="433" t="s">
        <v>83</v>
      </c>
      <c r="C12" s="162">
        <f>C14*$I12</f>
        <v>2193.8773999999999</v>
      </c>
      <c r="D12" s="163">
        <f>D14*[7]planilha!$F$13</f>
        <v>0</v>
      </c>
      <c r="E12" s="163">
        <f>E14*[7]planilha!$F$13</f>
        <v>0</v>
      </c>
      <c r="F12" s="163">
        <f>F14*[7]planilha!$F$13</f>
        <v>0</v>
      </c>
      <c r="G12" s="163">
        <f>G14*[7]planilha!$F$13</f>
        <v>0</v>
      </c>
      <c r="H12" s="163">
        <f>H14*[7]planilha!$F$13</f>
        <v>0</v>
      </c>
      <c r="I12" s="434">
        <f>[8]planilha!L21</f>
        <v>2193.8773999999999</v>
      </c>
      <c r="J12" s="431">
        <f>I12/I49</f>
        <v>3.700045127894349E-2</v>
      </c>
    </row>
    <row r="13" spans="1:10" ht="13.8" thickBot="1" x14ac:dyDescent="0.3">
      <c r="A13" s="432"/>
      <c r="B13" s="433"/>
      <c r="C13" s="158"/>
      <c r="D13" s="159"/>
      <c r="E13" s="159"/>
      <c r="F13" s="159"/>
      <c r="G13" s="159"/>
      <c r="H13" s="159"/>
      <c r="I13" s="434"/>
      <c r="J13" s="431"/>
    </row>
    <row r="14" spans="1:10" ht="13.8" thickBot="1" x14ac:dyDescent="0.3">
      <c r="A14" s="432"/>
      <c r="B14" s="433"/>
      <c r="C14" s="160">
        <v>1</v>
      </c>
      <c r="D14" s="161"/>
      <c r="E14" s="161"/>
      <c r="F14" s="161"/>
      <c r="G14" s="161"/>
      <c r="H14" s="161"/>
      <c r="I14" s="434"/>
      <c r="J14" s="431"/>
    </row>
    <row r="15" spans="1:10" ht="13.8" thickBot="1" x14ac:dyDescent="0.3">
      <c r="A15" s="432" t="s">
        <v>105</v>
      </c>
      <c r="B15" s="433" t="s">
        <v>107</v>
      </c>
      <c r="C15" s="162">
        <f>C17*$I15</f>
        <v>5726.2948400000014</v>
      </c>
      <c r="D15" s="162">
        <f>D17*$I15</f>
        <v>8589.4422600000016</v>
      </c>
      <c r="E15" s="162"/>
      <c r="F15" s="163">
        <f>F17*[7]planilha!$F$24</f>
        <v>0</v>
      </c>
      <c r="G15" s="163">
        <f>G17*[7]planilha!$F$24</f>
        <v>0</v>
      </c>
      <c r="H15" s="163">
        <f>H17*[7]planilha!$F$24</f>
        <v>0</v>
      </c>
      <c r="I15" s="434">
        <f>[8]planilha!L29</f>
        <v>14315.737100000002</v>
      </c>
      <c r="J15" s="431">
        <f>I15/I49</f>
        <v>0.24143953216834899</v>
      </c>
    </row>
    <row r="16" spans="1:10" ht="13.8" thickBot="1" x14ac:dyDescent="0.3">
      <c r="A16" s="432"/>
      <c r="B16" s="433"/>
      <c r="C16" s="158"/>
      <c r="D16" s="158"/>
      <c r="E16" s="168"/>
      <c r="F16" s="159"/>
      <c r="G16" s="159"/>
      <c r="H16" s="159"/>
      <c r="I16" s="434"/>
      <c r="J16" s="431"/>
    </row>
    <row r="17" spans="1:10" ht="13.8" thickBot="1" x14ac:dyDescent="0.3">
      <c r="A17" s="432"/>
      <c r="B17" s="433"/>
      <c r="C17" s="165">
        <v>0.4</v>
      </c>
      <c r="D17" s="165">
        <v>0.6</v>
      </c>
      <c r="E17" s="165"/>
      <c r="F17" s="161"/>
      <c r="G17" s="161"/>
      <c r="H17" s="161"/>
      <c r="I17" s="434"/>
      <c r="J17" s="431"/>
    </row>
    <row r="18" spans="1:10" x14ac:dyDescent="0.25">
      <c r="A18" s="432" t="s">
        <v>106</v>
      </c>
      <c r="B18" s="433" t="s">
        <v>120</v>
      </c>
      <c r="C18" s="162">
        <f>C20*$I18</f>
        <v>2671.6871999999998</v>
      </c>
      <c r="D18" s="166">
        <f>D20*$I18</f>
        <v>2671.6871999999998</v>
      </c>
      <c r="E18" s="166"/>
      <c r="F18" s="163">
        <f>F20*[7]planilha!$F$29</f>
        <v>0</v>
      </c>
      <c r="G18" s="163">
        <f>G20*[7]planilha!$F$29</f>
        <v>0</v>
      </c>
      <c r="H18" s="163">
        <f>H20*[7]planilha!$F$29</f>
        <v>0</v>
      </c>
      <c r="I18" s="434">
        <f>[8]planilha!L32</f>
        <v>5343.3743999999997</v>
      </c>
      <c r="J18" s="435">
        <f>I18/I49</f>
        <v>9.0117735910107785E-2</v>
      </c>
    </row>
    <row r="19" spans="1:10" x14ac:dyDescent="0.25">
      <c r="A19" s="432"/>
      <c r="B19" s="433"/>
      <c r="C19" s="158"/>
      <c r="D19" s="164"/>
      <c r="E19" s="159"/>
      <c r="F19" s="159"/>
      <c r="G19" s="159"/>
      <c r="H19" s="159"/>
      <c r="I19" s="434"/>
      <c r="J19" s="435"/>
    </row>
    <row r="20" spans="1:10" ht="13.8" thickBot="1" x14ac:dyDescent="0.3">
      <c r="A20" s="432"/>
      <c r="B20" s="433"/>
      <c r="C20" s="165">
        <v>0.5</v>
      </c>
      <c r="D20" s="161">
        <v>0.5</v>
      </c>
      <c r="E20" s="161"/>
      <c r="F20" s="161"/>
      <c r="G20" s="161"/>
      <c r="H20" s="161"/>
      <c r="I20" s="434"/>
      <c r="J20" s="435"/>
    </row>
    <row r="21" spans="1:10" x14ac:dyDescent="0.25">
      <c r="A21" s="432" t="s">
        <v>108</v>
      </c>
      <c r="B21" s="433" t="s">
        <v>119</v>
      </c>
      <c r="C21" s="167">
        <f>C23*[7]planilha!$F$44</f>
        <v>0</v>
      </c>
      <c r="D21" s="163">
        <f>D23*[7]planilha!$F$44</f>
        <v>0</v>
      </c>
      <c r="E21" s="166">
        <f>E23*$I21</f>
        <v>6083.9491999999991</v>
      </c>
      <c r="F21" s="166"/>
      <c r="G21" s="163">
        <f>G23*[7]planilha!$F$44</f>
        <v>0</v>
      </c>
      <c r="H21" s="163">
        <f>H23*[7]planilha!$F$44</f>
        <v>0</v>
      </c>
      <c r="I21" s="434">
        <f>[8]planilha!L45</f>
        <v>6083.9491999999991</v>
      </c>
      <c r="J21" s="435">
        <f>I21/I49</f>
        <v>0.1026077692209087</v>
      </c>
    </row>
    <row r="22" spans="1:10" x14ac:dyDescent="0.25">
      <c r="A22" s="432"/>
      <c r="B22" s="433"/>
      <c r="C22" s="168"/>
      <c r="D22" s="159"/>
      <c r="E22" s="164"/>
      <c r="F22" s="159"/>
      <c r="G22" s="159"/>
      <c r="H22" s="159"/>
      <c r="I22" s="434"/>
      <c r="J22" s="435"/>
    </row>
    <row r="23" spans="1:10" ht="13.8" thickBot="1" x14ac:dyDescent="0.3">
      <c r="A23" s="432"/>
      <c r="B23" s="433"/>
      <c r="C23" s="160"/>
      <c r="D23" s="161"/>
      <c r="E23" s="161">
        <v>1</v>
      </c>
      <c r="F23" s="161"/>
      <c r="G23" s="161"/>
      <c r="H23" s="161"/>
      <c r="I23" s="434"/>
      <c r="J23" s="435"/>
    </row>
    <row r="24" spans="1:10" x14ac:dyDescent="0.25">
      <c r="A24" s="432" t="s">
        <v>109</v>
      </c>
      <c r="B24" s="433" t="s">
        <v>121</v>
      </c>
      <c r="C24" s="167">
        <f>C26*[7]planilha!$F$54</f>
        <v>0</v>
      </c>
      <c r="D24" s="166">
        <f>D26*$I24</f>
        <v>6582.7530000000006</v>
      </c>
      <c r="E24" s="166">
        <f>E26*$I24</f>
        <v>6582.7530000000006</v>
      </c>
      <c r="F24" s="166"/>
      <c r="G24" s="166"/>
      <c r="H24" s="166"/>
      <c r="I24" s="434">
        <f>[8]planilha!L52</f>
        <v>13165.506000000001</v>
      </c>
      <c r="J24" s="435">
        <f>I24/I49</f>
        <v>0.22204051298200994</v>
      </c>
    </row>
    <row r="25" spans="1:10" x14ac:dyDescent="0.25">
      <c r="A25" s="432"/>
      <c r="B25" s="433"/>
      <c r="C25" s="168"/>
      <c r="D25" s="164"/>
      <c r="E25" s="164"/>
      <c r="F25" s="159"/>
      <c r="G25" s="159"/>
      <c r="H25" s="159"/>
      <c r="I25" s="434"/>
      <c r="J25" s="435"/>
    </row>
    <row r="26" spans="1:10" ht="13.8" thickBot="1" x14ac:dyDescent="0.3">
      <c r="A26" s="432"/>
      <c r="B26" s="433"/>
      <c r="C26" s="160"/>
      <c r="D26" s="161">
        <v>0.5</v>
      </c>
      <c r="E26" s="161">
        <v>0.5</v>
      </c>
      <c r="F26" s="161"/>
      <c r="G26" s="161"/>
      <c r="H26" s="161"/>
      <c r="I26" s="434"/>
      <c r="J26" s="435"/>
    </row>
    <row r="27" spans="1:10" x14ac:dyDescent="0.25">
      <c r="A27" s="432" t="s">
        <v>110</v>
      </c>
      <c r="B27" s="433" t="s">
        <v>122</v>
      </c>
      <c r="C27" s="167">
        <f>C29*[7]planilha!$F$69</f>
        <v>0</v>
      </c>
      <c r="D27" s="166">
        <f>D29*$I27</f>
        <v>2115.2560000000003</v>
      </c>
      <c r="E27" s="166">
        <f>E29*$I27</f>
        <v>2115.2560000000003</v>
      </c>
      <c r="F27" s="166"/>
      <c r="G27" s="166"/>
      <c r="H27" s="166"/>
      <c r="I27" s="434">
        <f>[8]planilha!L59</f>
        <v>4230.5120000000006</v>
      </c>
      <c r="J27" s="435">
        <f>I27/$I$49</f>
        <v>7.1348951924563239E-2</v>
      </c>
    </row>
    <row r="28" spans="1:10" x14ac:dyDescent="0.25">
      <c r="A28" s="432"/>
      <c r="B28" s="433"/>
      <c r="C28" s="168"/>
      <c r="D28" s="164"/>
      <c r="E28" s="164"/>
      <c r="F28" s="159"/>
      <c r="G28" s="159"/>
      <c r="H28" s="159"/>
      <c r="I28" s="434"/>
      <c r="J28" s="435"/>
    </row>
    <row r="29" spans="1:10" ht="13.8" thickBot="1" x14ac:dyDescent="0.3">
      <c r="A29" s="432"/>
      <c r="B29" s="433"/>
      <c r="C29" s="160"/>
      <c r="D29" s="161">
        <v>0.5</v>
      </c>
      <c r="E29" s="161">
        <v>0.5</v>
      </c>
      <c r="F29" s="161"/>
      <c r="G29" s="161"/>
      <c r="H29" s="161"/>
      <c r="I29" s="434"/>
      <c r="J29" s="435"/>
    </row>
    <row r="30" spans="1:10" x14ac:dyDescent="0.25">
      <c r="A30" s="432" t="s">
        <v>111</v>
      </c>
      <c r="B30" s="433" t="s">
        <v>87</v>
      </c>
      <c r="C30" s="167">
        <f>C32*[7]planilha!$F$82</f>
        <v>0</v>
      </c>
      <c r="D30" s="167">
        <f>D32*[7]planilha!$F$82</f>
        <v>0</v>
      </c>
      <c r="E30" s="166">
        <f>E32*$I30</f>
        <v>1111.1376</v>
      </c>
      <c r="F30" s="163">
        <f>F32*[7]planilha!$F$82</f>
        <v>0</v>
      </c>
      <c r="G30" s="163">
        <f>G32*[7]planilha!$F$82</f>
        <v>0</v>
      </c>
      <c r="H30" s="163">
        <f>H32*[7]planilha!$F$82</f>
        <v>0</v>
      </c>
      <c r="I30" s="434">
        <f>[8]planilha!L66</f>
        <v>1111.1376</v>
      </c>
      <c r="J30" s="435">
        <f>I30/$I$49</f>
        <v>1.8739694676193939E-2</v>
      </c>
    </row>
    <row r="31" spans="1:10" x14ac:dyDescent="0.25">
      <c r="A31" s="432"/>
      <c r="B31" s="433"/>
      <c r="C31" s="168"/>
      <c r="D31" s="159"/>
      <c r="E31" s="164"/>
      <c r="F31" s="159"/>
      <c r="G31" s="159"/>
      <c r="H31" s="159"/>
      <c r="I31" s="434"/>
      <c r="J31" s="435"/>
    </row>
    <row r="32" spans="1:10" ht="13.8" thickBot="1" x14ac:dyDescent="0.3">
      <c r="A32" s="432"/>
      <c r="B32" s="433"/>
      <c r="C32" s="160"/>
      <c r="D32" s="161"/>
      <c r="E32" s="161">
        <v>1</v>
      </c>
      <c r="F32" s="161"/>
      <c r="G32" s="161"/>
      <c r="H32" s="161"/>
      <c r="I32" s="434"/>
      <c r="J32" s="435"/>
    </row>
    <row r="33" spans="1:10" x14ac:dyDescent="0.25">
      <c r="A33" s="432" t="s">
        <v>112</v>
      </c>
      <c r="B33" s="433" t="s">
        <v>123</v>
      </c>
      <c r="C33" s="167">
        <f>C35*[7]planilha!$F$88</f>
        <v>0</v>
      </c>
      <c r="D33" s="166">
        <f>D35*$I33</f>
        <v>2180.3200000000002</v>
      </c>
      <c r="E33" s="166">
        <f>E35*$I33</f>
        <v>2180.3200000000002</v>
      </c>
      <c r="F33" s="163">
        <f>F35*[7]planilha!$F$82</f>
        <v>0</v>
      </c>
      <c r="G33" s="163">
        <f>G35*[7]planilha!$F$88</f>
        <v>0</v>
      </c>
      <c r="H33" s="163">
        <f>H35*[7]planilha!$F$88</f>
        <v>0</v>
      </c>
      <c r="I33" s="434">
        <f>[8]planilha!L81</f>
        <v>4360.6400000000003</v>
      </c>
      <c r="J33" s="435">
        <f>I33/$I$49</f>
        <v>7.3543602694030277E-2</v>
      </c>
    </row>
    <row r="34" spans="1:10" x14ac:dyDescent="0.25">
      <c r="A34" s="432"/>
      <c r="B34" s="433"/>
      <c r="C34" s="168"/>
      <c r="D34" s="164"/>
      <c r="E34" s="164"/>
      <c r="F34" s="159"/>
      <c r="G34" s="159"/>
      <c r="H34" s="159"/>
      <c r="I34" s="434"/>
      <c r="J34" s="435"/>
    </row>
    <row r="35" spans="1:10" ht="13.8" thickBot="1" x14ac:dyDescent="0.3">
      <c r="A35" s="432"/>
      <c r="B35" s="433"/>
      <c r="C35" s="160"/>
      <c r="D35" s="161">
        <v>0.5</v>
      </c>
      <c r="E35" s="161">
        <v>0.5</v>
      </c>
      <c r="F35" s="161"/>
      <c r="G35" s="161"/>
      <c r="H35" s="161"/>
      <c r="I35" s="434"/>
      <c r="J35" s="435"/>
    </row>
    <row r="36" spans="1:10" x14ac:dyDescent="0.25">
      <c r="A36" s="432" t="s">
        <v>113</v>
      </c>
      <c r="B36" s="433" t="s">
        <v>124</v>
      </c>
      <c r="C36" s="167">
        <f>C38*[7]planilha!$F$99</f>
        <v>0</v>
      </c>
      <c r="D36" s="166">
        <f>D38*$I36</f>
        <v>1906.5226499999999</v>
      </c>
      <c r="E36" s="166">
        <f>E38*$I36</f>
        <v>1906.5226499999999</v>
      </c>
      <c r="F36" s="163">
        <f>F38*[7]planilha!$F$99</f>
        <v>0</v>
      </c>
      <c r="G36" s="163">
        <f>G38*[7]planilha!$F$99</f>
        <v>0</v>
      </c>
      <c r="H36" s="163">
        <f>H38*[7]planilha!$F$99</f>
        <v>0</v>
      </c>
      <c r="I36" s="434">
        <f>[8]planilha!L97</f>
        <v>3813.0452999999998</v>
      </c>
      <c r="J36" s="435">
        <f>I36/$I$49</f>
        <v>6.430824112917817E-2</v>
      </c>
    </row>
    <row r="37" spans="1:10" x14ac:dyDescent="0.25">
      <c r="A37" s="432"/>
      <c r="B37" s="433"/>
      <c r="C37" s="168"/>
      <c r="D37" s="164"/>
      <c r="E37" s="164"/>
      <c r="F37" s="159"/>
      <c r="G37" s="159"/>
      <c r="H37" s="159"/>
      <c r="I37" s="434"/>
      <c r="J37" s="435"/>
    </row>
    <row r="38" spans="1:10" ht="13.8" thickBot="1" x14ac:dyDescent="0.3">
      <c r="A38" s="432"/>
      <c r="B38" s="433"/>
      <c r="C38" s="160"/>
      <c r="D38" s="161">
        <v>0.5</v>
      </c>
      <c r="E38" s="161">
        <v>0.5</v>
      </c>
      <c r="F38" s="161"/>
      <c r="G38" s="161"/>
      <c r="H38" s="161"/>
      <c r="I38" s="434"/>
      <c r="J38" s="435"/>
    </row>
    <row r="39" spans="1:10" x14ac:dyDescent="0.25">
      <c r="A39" s="432" t="s">
        <v>114</v>
      </c>
      <c r="B39" s="433" t="s">
        <v>37</v>
      </c>
      <c r="C39" s="167">
        <f>C41*[7]planilha!$F$103</f>
        <v>0</v>
      </c>
      <c r="D39" s="166"/>
      <c r="E39" s="166">
        <f>E41*$I39</f>
        <v>2328.3904000000002</v>
      </c>
      <c r="F39" s="163">
        <f>F41*[7]planilha!$F$103</f>
        <v>0</v>
      </c>
      <c r="G39" s="166"/>
      <c r="H39" s="166"/>
      <c r="I39" s="434">
        <f>[8]planilha!L103</f>
        <v>2328.3904000000002</v>
      </c>
      <c r="J39" s="435">
        <f>I39/$I$49</f>
        <v>3.9269056490376243E-2</v>
      </c>
    </row>
    <row r="40" spans="1:10" x14ac:dyDescent="0.25">
      <c r="A40" s="432"/>
      <c r="B40" s="433"/>
      <c r="C40" s="168"/>
      <c r="D40" s="159"/>
      <c r="E40" s="164"/>
      <c r="F40" s="159"/>
      <c r="G40" s="159"/>
      <c r="H40" s="159"/>
      <c r="I40" s="434"/>
      <c r="J40" s="435"/>
    </row>
    <row r="41" spans="1:10" ht="13.8" thickBot="1" x14ac:dyDescent="0.3">
      <c r="A41" s="432"/>
      <c r="B41" s="433"/>
      <c r="C41" s="160"/>
      <c r="D41" s="161"/>
      <c r="E41" s="161">
        <v>1</v>
      </c>
      <c r="F41" s="161"/>
      <c r="G41" s="161"/>
      <c r="H41" s="161"/>
      <c r="I41" s="434"/>
      <c r="J41" s="435"/>
    </row>
    <row r="42" spans="1:10" x14ac:dyDescent="0.25">
      <c r="A42" s="432" t="s">
        <v>115</v>
      </c>
      <c r="B42" s="433" t="s">
        <v>126</v>
      </c>
      <c r="C42" s="167">
        <f>C44*[7]planilha!$F$109</f>
        <v>0</v>
      </c>
      <c r="D42" s="163">
        <f>D44*[7]planilha!$F$109</f>
        <v>0</v>
      </c>
      <c r="E42" s="166">
        <f>E44*$I42</f>
        <v>798.57999999999993</v>
      </c>
      <c r="F42" s="163">
        <f>F44*[7]planilha!$F$109</f>
        <v>0</v>
      </c>
      <c r="G42" s="166"/>
      <c r="H42" s="166"/>
      <c r="I42" s="434">
        <f>[8]planilha!L114</f>
        <v>798.57999999999993</v>
      </c>
      <c r="J42" s="435">
        <f>I42/$I$49</f>
        <v>1.3468309752558957E-2</v>
      </c>
    </row>
    <row r="43" spans="1:10" x14ac:dyDescent="0.25">
      <c r="A43" s="432"/>
      <c r="B43" s="433"/>
      <c r="C43" s="168"/>
      <c r="D43" s="159"/>
      <c r="E43" s="164"/>
      <c r="F43" s="159"/>
      <c r="G43" s="159"/>
      <c r="H43" s="159"/>
      <c r="I43" s="434"/>
      <c r="J43" s="435"/>
    </row>
    <row r="44" spans="1:10" ht="13.8" thickBot="1" x14ac:dyDescent="0.3">
      <c r="A44" s="432"/>
      <c r="B44" s="433"/>
      <c r="C44" s="160"/>
      <c r="D44" s="161"/>
      <c r="E44" s="161">
        <v>1</v>
      </c>
      <c r="F44" s="161"/>
      <c r="G44" s="161"/>
      <c r="H44" s="161"/>
      <c r="I44" s="434"/>
      <c r="J44" s="435"/>
    </row>
    <row r="45" spans="1:10" x14ac:dyDescent="0.25">
      <c r="A45" s="432" t="s">
        <v>116</v>
      </c>
      <c r="B45" s="433" t="s">
        <v>127</v>
      </c>
      <c r="C45" s="167">
        <f>C47*[7]planilha!$F$122</f>
        <v>0</v>
      </c>
      <c r="D45" s="163">
        <f>D47*[7]planilha!$F$122</f>
        <v>0</v>
      </c>
      <c r="E45" s="166">
        <f>E47*$I45</f>
        <v>70.847999999999999</v>
      </c>
      <c r="F45" s="163">
        <f>F47*[7]planilha!$F$122</f>
        <v>0</v>
      </c>
      <c r="G45" s="166"/>
      <c r="H45" s="166"/>
      <c r="I45" s="434">
        <f>[8]planilha!L118</f>
        <v>70.847999999999999</v>
      </c>
      <c r="J45" s="435">
        <f>I45/$I$49</f>
        <v>1.194874413771065E-3</v>
      </c>
    </row>
    <row r="46" spans="1:10" x14ac:dyDescent="0.25">
      <c r="A46" s="432"/>
      <c r="B46" s="433"/>
      <c r="C46" s="168"/>
      <c r="D46" s="159"/>
      <c r="E46" s="164"/>
      <c r="F46" s="159"/>
      <c r="G46" s="159"/>
      <c r="H46" s="159"/>
      <c r="I46" s="434"/>
      <c r="J46" s="435"/>
    </row>
    <row r="47" spans="1:10" ht="13.8" thickBot="1" x14ac:dyDescent="0.3">
      <c r="A47" s="432"/>
      <c r="B47" s="433"/>
      <c r="C47" s="160"/>
      <c r="D47" s="161"/>
      <c r="E47" s="161">
        <v>1</v>
      </c>
      <c r="F47" s="161"/>
      <c r="G47" s="161"/>
      <c r="H47" s="161"/>
      <c r="I47" s="434"/>
      <c r="J47" s="435"/>
    </row>
    <row r="48" spans="1:10" ht="12.75" customHeight="1" thickBot="1" x14ac:dyDescent="0.3">
      <c r="A48" s="436"/>
      <c r="B48" s="437"/>
      <c r="C48" s="437"/>
      <c r="D48" s="437"/>
      <c r="E48" s="437"/>
      <c r="F48" s="437"/>
      <c r="G48" s="437"/>
      <c r="H48" s="437"/>
      <c r="I48" s="437"/>
      <c r="J48" s="438"/>
    </row>
    <row r="49" spans="1:10" x14ac:dyDescent="0.25">
      <c r="A49" s="439" t="s">
        <v>131</v>
      </c>
      <c r="B49" s="440"/>
      <c r="C49" s="169">
        <f t="shared" ref="C49:H49" si="0">C9+C12+C15+C18+C21+C24+C27+C30+C33+C36+C39+C42+C45</f>
        <v>12069.522640000001</v>
      </c>
      <c r="D49" s="169">
        <f t="shared" si="0"/>
        <v>24045.981110000001</v>
      </c>
      <c r="E49" s="169">
        <f t="shared" si="0"/>
        <v>23177.756850000002</v>
      </c>
      <c r="F49" s="169">
        <f t="shared" si="0"/>
        <v>0</v>
      </c>
      <c r="G49" s="169">
        <f t="shared" si="0"/>
        <v>0</v>
      </c>
      <c r="H49" s="169">
        <f t="shared" si="0"/>
        <v>0</v>
      </c>
      <c r="I49" s="170">
        <f>SUM(I9:I47)</f>
        <v>59293.260600000009</v>
      </c>
      <c r="J49" s="171">
        <f>SUM(J9:J47)</f>
        <v>1</v>
      </c>
    </row>
    <row r="50" spans="1:10" ht="12.75" customHeight="1" thickBot="1" x14ac:dyDescent="0.3">
      <c r="A50" s="441" t="s">
        <v>117</v>
      </c>
      <c r="B50" s="442"/>
      <c r="C50" s="172">
        <f>C49</f>
        <v>12069.522640000001</v>
      </c>
      <c r="D50" s="173">
        <f>D49+C50</f>
        <v>36115.503750000003</v>
      </c>
      <c r="E50" s="173">
        <f>E49+D50</f>
        <v>59293.260600000009</v>
      </c>
      <c r="F50" s="173">
        <f>F49+E50</f>
        <v>59293.260600000009</v>
      </c>
      <c r="G50" s="173">
        <f>G49+F50</f>
        <v>59293.260600000009</v>
      </c>
      <c r="H50" s="173">
        <f>H49+G50</f>
        <v>59293.260600000009</v>
      </c>
      <c r="I50" s="174"/>
      <c r="J50" s="175"/>
    </row>
    <row r="51" spans="1:10" ht="13.8" thickBot="1" x14ac:dyDescent="0.3">
      <c r="A51" s="176"/>
      <c r="B51" s="177"/>
      <c r="C51" s="178"/>
      <c r="D51" s="178"/>
      <c r="E51" s="178"/>
      <c r="F51" s="178"/>
      <c r="G51" s="178"/>
      <c r="H51" s="178"/>
      <c r="I51" s="179"/>
      <c r="J51" s="180"/>
    </row>
    <row r="52" spans="1:10" x14ac:dyDescent="0.25">
      <c r="A52" s="181"/>
      <c r="B52" s="182" t="s">
        <v>61</v>
      </c>
      <c r="C52" s="183" t="s">
        <v>118</v>
      </c>
      <c r="D52" s="184"/>
      <c r="E52" s="184"/>
      <c r="F52" s="184"/>
      <c r="G52" s="184"/>
      <c r="H52" s="184"/>
      <c r="I52" s="185"/>
      <c r="J52" s="186"/>
    </row>
    <row r="53" spans="1:10" ht="12.75" customHeight="1" x14ac:dyDescent="0.25">
      <c r="A53" s="187"/>
      <c r="B53" s="188"/>
      <c r="C53" s="189"/>
      <c r="D53" s="190"/>
      <c r="E53" s="190"/>
      <c r="F53" s="190"/>
      <c r="G53" s="190"/>
      <c r="H53" s="451" t="s">
        <v>130</v>
      </c>
      <c r="I53" s="452"/>
      <c r="J53" s="453"/>
    </row>
    <row r="54" spans="1:10" ht="15" customHeight="1" x14ac:dyDescent="0.25">
      <c r="A54" s="187"/>
      <c r="B54" s="191"/>
      <c r="C54" s="443" t="s">
        <v>133</v>
      </c>
      <c r="D54" s="444"/>
      <c r="E54" s="444"/>
      <c r="F54" s="444"/>
      <c r="G54" s="444"/>
      <c r="H54" s="447" t="s">
        <v>97</v>
      </c>
      <c r="I54" s="447"/>
      <c r="J54" s="448"/>
    </row>
    <row r="55" spans="1:10" ht="15.75" customHeight="1" thickBot="1" x14ac:dyDescent="0.3">
      <c r="A55" s="192"/>
      <c r="B55" s="193"/>
      <c r="C55" s="445" t="s">
        <v>98</v>
      </c>
      <c r="D55" s="446"/>
      <c r="E55" s="446"/>
      <c r="F55" s="446"/>
      <c r="G55" s="446"/>
      <c r="H55" s="449" t="s">
        <v>96</v>
      </c>
      <c r="I55" s="449"/>
      <c r="J55" s="450"/>
    </row>
    <row r="56" spans="1:10" ht="12.75" customHeight="1" x14ac:dyDescent="0.25"/>
    <row r="65" ht="12.75" customHeight="1" x14ac:dyDescent="0.25"/>
    <row r="71" ht="12.75" customHeight="1" x14ac:dyDescent="0.25"/>
  </sheetData>
  <mergeCells count="70">
    <mergeCell ref="A50:B50"/>
    <mergeCell ref="C54:G54"/>
    <mergeCell ref="C55:G55"/>
    <mergeCell ref="H54:J54"/>
    <mergeCell ref="H55:J55"/>
    <mergeCell ref="H53:J53"/>
    <mergeCell ref="A49:B49"/>
    <mergeCell ref="A45:A47"/>
    <mergeCell ref="B45:B47"/>
    <mergeCell ref="I45:I47"/>
    <mergeCell ref="J45:J47"/>
    <mergeCell ref="A42:A44"/>
    <mergeCell ref="B42:B44"/>
    <mergeCell ref="I42:I44"/>
    <mergeCell ref="J42:J44"/>
    <mergeCell ref="A48:J48"/>
    <mergeCell ref="A36:A38"/>
    <mergeCell ref="B36:B38"/>
    <mergeCell ref="I36:I38"/>
    <mergeCell ref="J36:J38"/>
    <mergeCell ref="A39:A41"/>
    <mergeCell ref="B39:B41"/>
    <mergeCell ref="I39:I41"/>
    <mergeCell ref="J39:J41"/>
    <mergeCell ref="A30:A32"/>
    <mergeCell ref="B30:B32"/>
    <mergeCell ref="I30:I32"/>
    <mergeCell ref="J30:J32"/>
    <mergeCell ref="A33:A35"/>
    <mergeCell ref="B33:B35"/>
    <mergeCell ref="I33:I35"/>
    <mergeCell ref="J33:J35"/>
    <mergeCell ref="A24:A26"/>
    <mergeCell ref="B24:B26"/>
    <mergeCell ref="I24:I26"/>
    <mergeCell ref="J24:J26"/>
    <mergeCell ref="A27:A29"/>
    <mergeCell ref="B27:B29"/>
    <mergeCell ref="I27:I29"/>
    <mergeCell ref="J27:J29"/>
    <mergeCell ref="A18:A20"/>
    <mergeCell ref="B18:B20"/>
    <mergeCell ref="I18:I20"/>
    <mergeCell ref="J18:J20"/>
    <mergeCell ref="A21:A23"/>
    <mergeCell ref="B21:B23"/>
    <mergeCell ref="I21:I23"/>
    <mergeCell ref="J21:J23"/>
    <mergeCell ref="A15:A17"/>
    <mergeCell ref="B15:B17"/>
    <mergeCell ref="I15:I17"/>
    <mergeCell ref="J15:J17"/>
    <mergeCell ref="A12:A14"/>
    <mergeCell ref="B12:B14"/>
    <mergeCell ref="I12:I14"/>
    <mergeCell ref="J12:J14"/>
    <mergeCell ref="A8:B8"/>
    <mergeCell ref="A9:A11"/>
    <mergeCell ref="B9:B11"/>
    <mergeCell ref="C1:J1"/>
    <mergeCell ref="C2:J2"/>
    <mergeCell ref="C3:J3"/>
    <mergeCell ref="C4:J4"/>
    <mergeCell ref="A6:A7"/>
    <mergeCell ref="B6:B7"/>
    <mergeCell ref="C6:H6"/>
    <mergeCell ref="I6:J6"/>
    <mergeCell ref="A1:B5"/>
    <mergeCell ref="I9:I11"/>
    <mergeCell ref="J9:J11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CRONOGRAMA</vt:lpstr>
      <vt:lpstr>ORÇAMENTO</vt:lpstr>
      <vt:lpstr>MEMORIAL DE CALCULO</vt:lpstr>
      <vt:lpstr>Plan1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</dc:creator>
  <cp:lastModifiedBy>Marlon</cp:lastModifiedBy>
  <cp:lastPrinted>2014-12-23T13:04:08Z</cp:lastPrinted>
  <dcterms:created xsi:type="dcterms:W3CDTF">2014-09-25T01:08:37Z</dcterms:created>
  <dcterms:modified xsi:type="dcterms:W3CDTF">2021-08-12T12:43:41Z</dcterms:modified>
</cp:coreProperties>
</file>